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ffreylucas/Desktop/66 days/"/>
    </mc:Choice>
  </mc:AlternateContent>
  <xr:revisionPtr revIDLastSave="0" documentId="13_ncr:1_{040A4EAC-3F00-2143-8E4E-4AE9DAF5FFAB}" xr6:coauthVersionLast="47" xr6:coauthVersionMax="47" xr10:uidLastSave="{00000000-0000-0000-0000-000000000000}"/>
  <bookViews>
    <workbookView xWindow="0" yWindow="620" windowWidth="29040" windowHeight="15720" xr2:uid="{729BD3BB-FAEC-4F12-AD37-6785C3FC951E}"/>
  </bookViews>
  <sheets>
    <sheet name="income statement" sheetId="2" r:id="rId1"/>
    <sheet name="balance sheet" sheetId="3" r:id="rId2"/>
    <sheet name="cashflow" sheetId="4" r:id="rId3"/>
    <sheet name="EBITDA statement" sheetId="5" r:id="rId4"/>
  </sheets>
  <definedNames>
    <definedName name="MONTHS" localSheetId="1">'balance sheet'!$B$2:$J$2</definedName>
    <definedName name="MONTHS" localSheetId="2">cashflow!$B$2:$I$2</definedName>
    <definedName name="MONTHS" localSheetId="3">'EBITDA statement'!$C$2:$K$2</definedName>
    <definedName name="MONTHS" localSheetId="0">'income statement'!$C$2:$K$2</definedName>
    <definedName name="ROWS" localSheetId="1">'balance sheet'!$A$4:$A$37</definedName>
    <definedName name="ROWS" localSheetId="2">cashflow!$A$3:$A$26</definedName>
    <definedName name="ROWS" localSheetId="3">'EBITDA statement'!$A$4:$A$84</definedName>
    <definedName name="ROWS" localSheetId="0">'income statement'!$A$4:$A$88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1" i="5" l="1"/>
  <c r="E81" i="5"/>
  <c r="F81" i="5"/>
  <c r="G81" i="5"/>
  <c r="H81" i="5"/>
  <c r="I81" i="5"/>
  <c r="J81" i="5"/>
  <c r="K81" i="5"/>
  <c r="L81" i="5"/>
  <c r="M81" i="5"/>
  <c r="N81" i="5"/>
  <c r="O81" i="5"/>
  <c r="P81" i="5"/>
  <c r="C81" i="5"/>
  <c r="C89" i="2"/>
  <c r="D84" i="2"/>
  <c r="E84" i="2"/>
  <c r="F84" i="2"/>
  <c r="G84" i="2"/>
  <c r="H84" i="2"/>
  <c r="I84" i="2"/>
  <c r="J84" i="2"/>
  <c r="K84" i="2"/>
  <c r="L84" i="2"/>
  <c r="M84" i="2"/>
  <c r="N84" i="2"/>
  <c r="O84" i="2"/>
  <c r="N34" i="3" s="1"/>
  <c r="P84" i="2"/>
  <c r="C84" i="2"/>
  <c r="N3" i="4"/>
  <c r="M6" i="4"/>
  <c r="N6" i="4"/>
  <c r="M7" i="4"/>
  <c r="N7" i="4"/>
  <c r="N12" i="4" s="1"/>
  <c r="N26" i="4" s="1"/>
  <c r="M8" i="4"/>
  <c r="N8" i="4"/>
  <c r="M9" i="4"/>
  <c r="N9" i="4"/>
  <c r="M10" i="4"/>
  <c r="N10" i="4"/>
  <c r="M11" i="4"/>
  <c r="N11" i="4"/>
  <c r="M16" i="4"/>
  <c r="N16" i="4"/>
  <c r="M17" i="4"/>
  <c r="N17" i="4"/>
  <c r="M22" i="4"/>
  <c r="M24" i="4" s="1"/>
  <c r="N22" i="4"/>
  <c r="M23" i="4"/>
  <c r="N23" i="4"/>
  <c r="N24" i="4"/>
  <c r="N41" i="3"/>
  <c r="O41" i="3"/>
  <c r="N42" i="3"/>
  <c r="O42" i="3"/>
  <c r="N43" i="3"/>
  <c r="O43" i="3"/>
  <c r="N44" i="3"/>
  <c r="N23" i="3" s="1"/>
  <c r="N24" i="3" s="1"/>
  <c r="O44" i="3"/>
  <c r="O23" i="3" s="1"/>
  <c r="O24" i="3" s="1"/>
  <c r="O89" i="2"/>
  <c r="P89" i="2"/>
  <c r="P77" i="5"/>
  <c r="P74" i="5"/>
  <c r="P75" i="5" s="1"/>
  <c r="O74" i="5"/>
  <c r="O75" i="5" s="1"/>
  <c r="P69" i="5"/>
  <c r="P67" i="5"/>
  <c r="O67" i="5"/>
  <c r="P63" i="5"/>
  <c r="O63" i="5"/>
  <c r="O69" i="5" s="1"/>
  <c r="P58" i="5"/>
  <c r="O58" i="5"/>
  <c r="P52" i="5"/>
  <c r="O52" i="5"/>
  <c r="P47" i="5"/>
  <c r="O47" i="5"/>
  <c r="P42" i="5"/>
  <c r="O42" i="5"/>
  <c r="P36" i="5"/>
  <c r="O36" i="5"/>
  <c r="O26" i="5"/>
  <c r="P26" i="5"/>
  <c r="P12" i="5"/>
  <c r="P15" i="5" s="1"/>
  <c r="O12" i="5"/>
  <c r="O15" i="5" s="1"/>
  <c r="O28" i="5" s="1"/>
  <c r="O9" i="5"/>
  <c r="P8" i="5"/>
  <c r="P9" i="5" s="1"/>
  <c r="O8" i="5"/>
  <c r="P78" i="2"/>
  <c r="P72" i="2"/>
  <c r="P71" i="2"/>
  <c r="O71" i="2"/>
  <c r="O72" i="2" s="1"/>
  <c r="P68" i="2"/>
  <c r="O68" i="2"/>
  <c r="P64" i="2"/>
  <c r="O64" i="2"/>
  <c r="P59" i="2"/>
  <c r="O59" i="2"/>
  <c r="P53" i="2"/>
  <c r="P74" i="2" s="1"/>
  <c r="O53" i="2"/>
  <c r="P48" i="2"/>
  <c r="O48" i="2"/>
  <c r="P43" i="2"/>
  <c r="O43" i="2"/>
  <c r="P37" i="2"/>
  <c r="O37" i="2"/>
  <c r="O74" i="2" s="1"/>
  <c r="P26" i="2"/>
  <c r="O26" i="2"/>
  <c r="P12" i="2"/>
  <c r="P15" i="2" s="1"/>
  <c r="P28" i="2" s="1"/>
  <c r="O12" i="2"/>
  <c r="O15" i="2" s="1"/>
  <c r="P8" i="2"/>
  <c r="O8" i="2"/>
  <c r="N7" i="3"/>
  <c r="O7" i="3" s="1"/>
  <c r="N8" i="3"/>
  <c r="O8" i="3" s="1"/>
  <c r="N12" i="3"/>
  <c r="N13" i="3"/>
  <c r="O13" i="3"/>
  <c r="N28" i="3"/>
  <c r="O28" i="3"/>
  <c r="L61" i="5"/>
  <c r="L63" i="5" s="1"/>
  <c r="N58" i="5"/>
  <c r="M58" i="5"/>
  <c r="L58" i="5"/>
  <c r="N52" i="5"/>
  <c r="M52" i="5"/>
  <c r="L52" i="5"/>
  <c r="L46" i="5"/>
  <c r="M46" i="5" s="1"/>
  <c r="N46" i="5" s="1"/>
  <c r="L45" i="5"/>
  <c r="M45" i="5" s="1"/>
  <c r="L42" i="5"/>
  <c r="L40" i="5"/>
  <c r="M40" i="5" s="1"/>
  <c r="N40" i="5" s="1"/>
  <c r="L39" i="5"/>
  <c r="M39" i="5" s="1"/>
  <c r="N36" i="5"/>
  <c r="M36" i="5"/>
  <c r="L36" i="5"/>
  <c r="N20" i="5"/>
  <c r="M20" i="5"/>
  <c r="L20" i="5"/>
  <c r="N19" i="5"/>
  <c r="M19" i="5"/>
  <c r="L19" i="5"/>
  <c r="N18" i="5"/>
  <c r="M18" i="5"/>
  <c r="L18" i="5"/>
  <c r="M8" i="3"/>
  <c r="L8" i="3"/>
  <c r="K8" i="3"/>
  <c r="J8" i="3"/>
  <c r="M62" i="2"/>
  <c r="N62" i="2" s="1"/>
  <c r="L62" i="2"/>
  <c r="M47" i="2"/>
  <c r="N47" i="2"/>
  <c r="L47" i="2"/>
  <c r="M46" i="2"/>
  <c r="N46" i="2"/>
  <c r="L46" i="2"/>
  <c r="M41" i="2"/>
  <c r="N41" i="2"/>
  <c r="L41" i="2"/>
  <c r="M40" i="2"/>
  <c r="N40" i="2"/>
  <c r="L40" i="2"/>
  <c r="K41" i="3"/>
  <c r="L41" i="3"/>
  <c r="K43" i="3"/>
  <c r="L43" i="3"/>
  <c r="M7" i="3"/>
  <c r="N20" i="2"/>
  <c r="M19" i="2"/>
  <c r="N19" i="2"/>
  <c r="M18" i="2"/>
  <c r="N18" i="2"/>
  <c r="L18" i="2"/>
  <c r="L19" i="2"/>
  <c r="L20" i="2"/>
  <c r="M20" i="2"/>
  <c r="M3" i="4" l="1"/>
  <c r="M12" i="4" s="1"/>
  <c r="M26" i="4" s="1"/>
  <c r="O71" i="5"/>
  <c r="O79" i="5" s="1"/>
  <c r="O29" i="5"/>
  <c r="P28" i="5"/>
  <c r="P76" i="2"/>
  <c r="P29" i="2"/>
  <c r="O12" i="3"/>
  <c r="O28" i="2"/>
  <c r="O9" i="3"/>
  <c r="N9" i="3"/>
  <c r="N39" i="5"/>
  <c r="N42" i="5" s="1"/>
  <c r="M42" i="5"/>
  <c r="N45" i="5"/>
  <c r="N47" i="5" s="1"/>
  <c r="M47" i="5"/>
  <c r="L47" i="5"/>
  <c r="M61" i="5"/>
  <c r="N71" i="2"/>
  <c r="L71" i="2"/>
  <c r="M71" i="2"/>
  <c r="O83" i="5" l="1"/>
  <c r="P29" i="5"/>
  <c r="P71" i="5"/>
  <c r="P79" i="5" s="1"/>
  <c r="O76" i="2"/>
  <c r="O29" i="2"/>
  <c r="P77" i="2"/>
  <c r="P80" i="2"/>
  <c r="M63" i="5"/>
  <c r="N61" i="5"/>
  <c r="N63" i="5" s="1"/>
  <c r="P83" i="5" l="1"/>
  <c r="P82" i="2"/>
  <c r="O77" i="2"/>
  <c r="O80" i="2"/>
  <c r="L8" i="2"/>
  <c r="M8" i="2"/>
  <c r="N8" i="2"/>
  <c r="L12" i="2"/>
  <c r="M12" i="2"/>
  <c r="N12" i="2"/>
  <c r="L37" i="2"/>
  <c r="M37" i="2"/>
  <c r="N37" i="2"/>
  <c r="L43" i="2"/>
  <c r="M43" i="2"/>
  <c r="N43" i="2"/>
  <c r="L48" i="2"/>
  <c r="M41" i="3" s="1"/>
  <c r="M48" i="2"/>
  <c r="N48" i="2"/>
  <c r="L53" i="2"/>
  <c r="M53" i="2"/>
  <c r="N53" i="2"/>
  <c r="L59" i="2"/>
  <c r="M59" i="2"/>
  <c r="N59" i="2"/>
  <c r="L64" i="2"/>
  <c r="M64" i="2"/>
  <c r="N64" i="2"/>
  <c r="L68" i="2"/>
  <c r="M68" i="2"/>
  <c r="N68" i="2"/>
  <c r="L72" i="2"/>
  <c r="M72" i="2"/>
  <c r="N72" i="2"/>
  <c r="L78" i="2"/>
  <c r="M78" i="2"/>
  <c r="N78" i="2"/>
  <c r="L8" i="5"/>
  <c r="L15" i="5" s="1"/>
  <c r="M8" i="5"/>
  <c r="M9" i="5" s="1"/>
  <c r="N8" i="5"/>
  <c r="L12" i="5"/>
  <c r="M12" i="5"/>
  <c r="N12" i="5"/>
  <c r="N15" i="5" s="1"/>
  <c r="L67" i="5"/>
  <c r="M67" i="5"/>
  <c r="N67" i="5"/>
  <c r="L69" i="5"/>
  <c r="M69" i="5"/>
  <c r="N69" i="5"/>
  <c r="L74" i="5"/>
  <c r="L75" i="5" s="1"/>
  <c r="M74" i="5"/>
  <c r="M75" i="5" s="1"/>
  <c r="N74" i="5"/>
  <c r="N75" i="5" s="1"/>
  <c r="L77" i="5"/>
  <c r="M77" i="5"/>
  <c r="N77" i="5"/>
  <c r="K9" i="3"/>
  <c r="L9" i="3"/>
  <c r="M9" i="3"/>
  <c r="K12" i="3"/>
  <c r="J7" i="4" s="1"/>
  <c r="K28" i="3"/>
  <c r="L28" i="3"/>
  <c r="M28" i="3"/>
  <c r="K33" i="3"/>
  <c r="L33" i="3"/>
  <c r="M33" i="3" s="1"/>
  <c r="J6" i="4"/>
  <c r="K6" i="4"/>
  <c r="L6" i="4"/>
  <c r="J9" i="4"/>
  <c r="K9" i="4"/>
  <c r="L9" i="4"/>
  <c r="J11" i="4"/>
  <c r="K11" i="4"/>
  <c r="L11" i="4"/>
  <c r="J16" i="4"/>
  <c r="K16" i="4"/>
  <c r="L16" i="4"/>
  <c r="L17" i="4" s="1"/>
  <c r="J17" i="4"/>
  <c r="K17" i="4"/>
  <c r="J22" i="4"/>
  <c r="K22" i="4"/>
  <c r="L22" i="4"/>
  <c r="J23" i="4"/>
  <c r="K23" i="4"/>
  <c r="K24" i="4" s="1"/>
  <c r="L23" i="4"/>
  <c r="J24" i="4"/>
  <c r="B69" i="5"/>
  <c r="B63" i="5"/>
  <c r="B58" i="5"/>
  <c r="B52" i="5"/>
  <c r="B47" i="5"/>
  <c r="B42" i="5"/>
  <c r="B36" i="5"/>
  <c r="B15" i="5"/>
  <c r="B12" i="5"/>
  <c r="B8" i="5"/>
  <c r="B26" i="2"/>
  <c r="B89" i="2" s="1"/>
  <c r="C43" i="3" s="1"/>
  <c r="K77" i="5"/>
  <c r="C75" i="5"/>
  <c r="B75" i="5"/>
  <c r="K74" i="5"/>
  <c r="K75" i="5" s="1"/>
  <c r="J74" i="5"/>
  <c r="J75" i="5" s="1"/>
  <c r="I74" i="5"/>
  <c r="I75" i="5" s="1"/>
  <c r="H74" i="5"/>
  <c r="H75" i="5" s="1"/>
  <c r="G74" i="5"/>
  <c r="G75" i="5" s="1"/>
  <c r="F74" i="5"/>
  <c r="F75" i="5" s="1"/>
  <c r="E74" i="5"/>
  <c r="E75" i="5" s="1"/>
  <c r="D74" i="5"/>
  <c r="D75" i="5" s="1"/>
  <c r="K67" i="5"/>
  <c r="J67" i="5"/>
  <c r="I67" i="5"/>
  <c r="H67" i="5"/>
  <c r="G67" i="5"/>
  <c r="F67" i="5"/>
  <c r="E67" i="5"/>
  <c r="D67" i="5"/>
  <c r="C67" i="5"/>
  <c r="B67" i="5"/>
  <c r="K63" i="5"/>
  <c r="J63" i="5"/>
  <c r="I63" i="5"/>
  <c r="H63" i="5"/>
  <c r="G63" i="5"/>
  <c r="F63" i="5"/>
  <c r="E63" i="5"/>
  <c r="D63" i="5"/>
  <c r="C63" i="5"/>
  <c r="K58" i="5"/>
  <c r="J58" i="5"/>
  <c r="I58" i="5"/>
  <c r="H58" i="5"/>
  <c r="G58" i="5"/>
  <c r="F58" i="5"/>
  <c r="E58" i="5"/>
  <c r="D58" i="5"/>
  <c r="C58" i="5"/>
  <c r="K52" i="5"/>
  <c r="J52" i="5"/>
  <c r="I52" i="5"/>
  <c r="H52" i="5"/>
  <c r="G52" i="5"/>
  <c r="F52" i="5"/>
  <c r="E52" i="5"/>
  <c r="D52" i="5"/>
  <c r="C52" i="5"/>
  <c r="K47" i="5"/>
  <c r="J47" i="5"/>
  <c r="I47" i="5"/>
  <c r="H47" i="5"/>
  <c r="G47" i="5"/>
  <c r="F47" i="5"/>
  <c r="E47" i="5"/>
  <c r="D47" i="5"/>
  <c r="C47" i="5"/>
  <c r="K42" i="5"/>
  <c r="J42" i="5"/>
  <c r="I42" i="5"/>
  <c r="H42" i="5"/>
  <c r="G42" i="5"/>
  <c r="F42" i="5"/>
  <c r="E42" i="5"/>
  <c r="D42" i="5"/>
  <c r="C42" i="5"/>
  <c r="K36" i="5"/>
  <c r="J36" i="5"/>
  <c r="I36" i="5"/>
  <c r="H36" i="5"/>
  <c r="G36" i="5"/>
  <c r="F36" i="5"/>
  <c r="E36" i="5"/>
  <c r="D36" i="5"/>
  <c r="C36" i="5"/>
  <c r="K12" i="5"/>
  <c r="J12" i="5"/>
  <c r="I12" i="5"/>
  <c r="H12" i="5"/>
  <c r="G12" i="5"/>
  <c r="F12" i="5"/>
  <c r="E12" i="5"/>
  <c r="D12" i="5"/>
  <c r="C12" i="5"/>
  <c r="K8" i="5"/>
  <c r="J8" i="5"/>
  <c r="I8" i="5"/>
  <c r="H8" i="5"/>
  <c r="G8" i="5"/>
  <c r="F8" i="5"/>
  <c r="E8" i="5"/>
  <c r="D8" i="5"/>
  <c r="C8" i="5"/>
  <c r="K78" i="2"/>
  <c r="B6" i="4"/>
  <c r="B11" i="4"/>
  <c r="B9" i="4"/>
  <c r="B16" i="4"/>
  <c r="C6" i="4"/>
  <c r="D6" i="4"/>
  <c r="E6" i="4"/>
  <c r="F6" i="4"/>
  <c r="G6" i="4"/>
  <c r="H6" i="4"/>
  <c r="I6" i="4"/>
  <c r="C16" i="4"/>
  <c r="D16" i="4"/>
  <c r="E16" i="4"/>
  <c r="F16" i="4"/>
  <c r="G16" i="4"/>
  <c r="H16" i="4"/>
  <c r="I16" i="4"/>
  <c r="J71" i="2"/>
  <c r="E71" i="2"/>
  <c r="F71" i="2"/>
  <c r="G71" i="2"/>
  <c r="H71" i="2"/>
  <c r="I71" i="2"/>
  <c r="H26" i="2"/>
  <c r="O82" i="2" l="1"/>
  <c r="L26" i="5"/>
  <c r="L28" i="5" s="1"/>
  <c r="L29" i="5" s="1"/>
  <c r="M15" i="5"/>
  <c r="N26" i="5"/>
  <c r="N9" i="5"/>
  <c r="N74" i="2"/>
  <c r="M74" i="2"/>
  <c r="N26" i="2"/>
  <c r="N89" i="2" s="1"/>
  <c r="M13" i="3"/>
  <c r="B26" i="5"/>
  <c r="L26" i="2"/>
  <c r="M26" i="5"/>
  <c r="M28" i="5" s="1"/>
  <c r="M29" i="5" s="1"/>
  <c r="N28" i="5"/>
  <c r="N71" i="5" s="1"/>
  <c r="N79" i="5" s="1"/>
  <c r="N15" i="2"/>
  <c r="M15" i="2"/>
  <c r="M12" i="3" s="1"/>
  <c r="M26" i="2"/>
  <c r="M89" i="2" s="1"/>
  <c r="L13" i="3"/>
  <c r="L15" i="2"/>
  <c r="L89" i="2"/>
  <c r="M43" i="3" s="1"/>
  <c r="L74" i="2"/>
  <c r="L9" i="5"/>
  <c r="L24" i="4"/>
  <c r="D69" i="5"/>
  <c r="C69" i="5"/>
  <c r="I69" i="5"/>
  <c r="J69" i="5"/>
  <c r="K69" i="5"/>
  <c r="H69" i="5"/>
  <c r="E69" i="5"/>
  <c r="F69" i="5"/>
  <c r="G69" i="5"/>
  <c r="I26" i="5"/>
  <c r="I85" i="5" s="1"/>
  <c r="D26" i="5"/>
  <c r="D85" i="5" s="1"/>
  <c r="K15" i="5"/>
  <c r="E15" i="5"/>
  <c r="H9" i="5"/>
  <c r="G15" i="5"/>
  <c r="H26" i="5"/>
  <c r="H85" i="5" s="1"/>
  <c r="F9" i="5"/>
  <c r="D15" i="5"/>
  <c r="F15" i="5"/>
  <c r="E26" i="5"/>
  <c r="E85" i="5" s="1"/>
  <c r="I9" i="5"/>
  <c r="K26" i="5"/>
  <c r="K85" i="5" s="1"/>
  <c r="J9" i="5"/>
  <c r="H15" i="5"/>
  <c r="D9" i="5"/>
  <c r="I15" i="5"/>
  <c r="F26" i="5"/>
  <c r="C26" i="5"/>
  <c r="C85" i="5" s="1"/>
  <c r="J26" i="5"/>
  <c r="J85" i="5" s="1"/>
  <c r="J15" i="5"/>
  <c r="G26" i="5"/>
  <c r="G85" i="5" s="1"/>
  <c r="E9" i="5"/>
  <c r="G9" i="5"/>
  <c r="B28" i="5"/>
  <c r="B71" i="5" s="1"/>
  <c r="B79" i="5" s="1"/>
  <c r="K9" i="5"/>
  <c r="C15" i="5"/>
  <c r="K71" i="2"/>
  <c r="D71" i="2"/>
  <c r="H13" i="3"/>
  <c r="F13" i="3"/>
  <c r="G13" i="3"/>
  <c r="O34" i="3" l="1"/>
  <c r="N29" i="5"/>
  <c r="N28" i="2"/>
  <c r="N29" i="2" s="1"/>
  <c r="L8" i="4"/>
  <c r="L28" i="2"/>
  <c r="L29" i="2" s="1"/>
  <c r="M15" i="3"/>
  <c r="M17" i="3" s="1"/>
  <c r="B81" i="5"/>
  <c r="B83" i="5" s="1"/>
  <c r="L71" i="5"/>
  <c r="L79" i="5" s="1"/>
  <c r="L83" i="5" s="1"/>
  <c r="K8" i="4"/>
  <c r="K13" i="3"/>
  <c r="K15" i="3" s="1"/>
  <c r="K17" i="3" s="1"/>
  <c r="G26" i="2"/>
  <c r="M71" i="5"/>
  <c r="M79" i="5" s="1"/>
  <c r="M28" i="2"/>
  <c r="M29" i="2" s="1"/>
  <c r="L12" i="3"/>
  <c r="L7" i="4" s="1"/>
  <c r="N83" i="5"/>
  <c r="D28" i="5"/>
  <c r="D71" i="5" s="1"/>
  <c r="D79" i="5" s="1"/>
  <c r="I28" i="5"/>
  <c r="I29" i="5" s="1"/>
  <c r="J28" i="5"/>
  <c r="J71" i="5" s="1"/>
  <c r="J79" i="5" s="1"/>
  <c r="F28" i="5"/>
  <c r="F29" i="5" s="1"/>
  <c r="E28" i="5"/>
  <c r="E71" i="5" s="1"/>
  <c r="E79" i="5" s="1"/>
  <c r="H28" i="5"/>
  <c r="G28" i="5"/>
  <c r="K28" i="5"/>
  <c r="F85" i="5"/>
  <c r="C28" i="5"/>
  <c r="J29" i="5"/>
  <c r="B29" i="5"/>
  <c r="E13" i="3"/>
  <c r="K26" i="2"/>
  <c r="I26" i="2"/>
  <c r="I13" i="3"/>
  <c r="C13" i="3"/>
  <c r="B8" i="4" s="1"/>
  <c r="E26" i="2"/>
  <c r="J26" i="2"/>
  <c r="J13" i="3"/>
  <c r="J8" i="4" s="1"/>
  <c r="D26" i="2"/>
  <c r="D13" i="3"/>
  <c r="C26" i="2"/>
  <c r="F26" i="2"/>
  <c r="M83" i="5" l="1"/>
  <c r="L76" i="2"/>
  <c r="L77" i="2" s="1"/>
  <c r="N76" i="2"/>
  <c r="N80" i="2" s="1"/>
  <c r="N82" i="2" s="1"/>
  <c r="L3" i="4" s="1"/>
  <c r="M76" i="2"/>
  <c r="M77" i="2" s="1"/>
  <c r="K7" i="4"/>
  <c r="L15" i="3"/>
  <c r="L17" i="3" s="1"/>
  <c r="D29" i="5"/>
  <c r="E83" i="5"/>
  <c r="E29" i="5"/>
  <c r="J83" i="5"/>
  <c r="I71" i="5"/>
  <c r="I79" i="5" s="1"/>
  <c r="I83" i="5" s="1"/>
  <c r="F71" i="5"/>
  <c r="F79" i="5" s="1"/>
  <c r="F83" i="5" s="1"/>
  <c r="K29" i="5"/>
  <c r="K71" i="5"/>
  <c r="K79" i="5" s="1"/>
  <c r="K83" i="5" s="1"/>
  <c r="C71" i="5"/>
  <c r="C79" i="5" s="1"/>
  <c r="C83" i="5" s="1"/>
  <c r="G71" i="5"/>
  <c r="G79" i="5" s="1"/>
  <c r="G83" i="5" s="1"/>
  <c r="H29" i="5"/>
  <c r="H71" i="5"/>
  <c r="H79" i="5" s="1"/>
  <c r="G29" i="5"/>
  <c r="C29" i="5"/>
  <c r="H83" i="5"/>
  <c r="D83" i="5"/>
  <c r="N77" i="2" l="1"/>
  <c r="L80" i="2"/>
  <c r="L82" i="2" s="1"/>
  <c r="M80" i="2"/>
  <c r="M82" i="2" s="1"/>
  <c r="K3" i="4" s="1"/>
  <c r="J72" i="2"/>
  <c r="K53" i="2"/>
  <c r="J53" i="2"/>
  <c r="I53" i="2"/>
  <c r="H53" i="2"/>
  <c r="G53" i="2"/>
  <c r="F53" i="2"/>
  <c r="E53" i="2"/>
  <c r="D53" i="2"/>
  <c r="C53" i="2"/>
  <c r="B53" i="2"/>
  <c r="K48" i="2"/>
  <c r="J48" i="2"/>
  <c r="I48" i="2"/>
  <c r="J41" i="3" s="1"/>
  <c r="H48" i="2"/>
  <c r="I41" i="3" s="1"/>
  <c r="G48" i="2"/>
  <c r="H41" i="3" s="1"/>
  <c r="F48" i="2"/>
  <c r="G41" i="3" s="1"/>
  <c r="E48" i="2"/>
  <c r="F41" i="3" s="1"/>
  <c r="D48" i="2"/>
  <c r="E41" i="3" s="1"/>
  <c r="C48" i="2"/>
  <c r="D41" i="3" s="1"/>
  <c r="B48" i="2"/>
  <c r="C41" i="3" s="1"/>
  <c r="I72" i="2"/>
  <c r="H72" i="2"/>
  <c r="G72" i="2"/>
  <c r="F72" i="2"/>
  <c r="E72" i="2"/>
  <c r="D72" i="2"/>
  <c r="C72" i="2"/>
  <c r="B72" i="2"/>
  <c r="B74" i="2" s="1"/>
  <c r="K68" i="2"/>
  <c r="J68" i="2"/>
  <c r="I68" i="2"/>
  <c r="H68" i="2"/>
  <c r="G68" i="2"/>
  <c r="F68" i="2"/>
  <c r="E68" i="2"/>
  <c r="D68" i="2"/>
  <c r="C68" i="2"/>
  <c r="B68" i="2"/>
  <c r="K64" i="2"/>
  <c r="J64" i="2"/>
  <c r="J89" i="2" s="1"/>
  <c r="I64" i="2"/>
  <c r="H64" i="2"/>
  <c r="G64" i="2"/>
  <c r="F64" i="2"/>
  <c r="E64" i="2"/>
  <c r="D64" i="2"/>
  <c r="C64" i="2"/>
  <c r="B64" i="2"/>
  <c r="K59" i="2"/>
  <c r="J59" i="2"/>
  <c r="I59" i="2"/>
  <c r="H59" i="2"/>
  <c r="G59" i="2"/>
  <c r="F59" i="2"/>
  <c r="E59" i="2"/>
  <c r="D59" i="2"/>
  <c r="C59" i="2"/>
  <c r="B59" i="2"/>
  <c r="K43" i="2"/>
  <c r="J43" i="2"/>
  <c r="I43" i="2"/>
  <c r="H43" i="2"/>
  <c r="G43" i="2"/>
  <c r="F43" i="2"/>
  <c r="E43" i="2"/>
  <c r="D43" i="2"/>
  <c r="C43" i="2"/>
  <c r="B43" i="2"/>
  <c r="K37" i="2"/>
  <c r="J37" i="2"/>
  <c r="I37" i="2"/>
  <c r="H37" i="2"/>
  <c r="G37" i="2"/>
  <c r="F37" i="2"/>
  <c r="E37" i="2"/>
  <c r="D37" i="2"/>
  <c r="C37" i="2"/>
  <c r="B37" i="2"/>
  <c r="K12" i="2"/>
  <c r="J12" i="2"/>
  <c r="I12" i="2"/>
  <c r="H12" i="2"/>
  <c r="G12" i="2"/>
  <c r="F12" i="2"/>
  <c r="E12" i="2"/>
  <c r="D12" i="2"/>
  <c r="C12" i="2"/>
  <c r="B12" i="2"/>
  <c r="K8" i="2"/>
  <c r="J8" i="2"/>
  <c r="I8" i="2"/>
  <c r="H8" i="2"/>
  <c r="G8" i="2"/>
  <c r="F8" i="2"/>
  <c r="E8" i="2"/>
  <c r="D8" i="2"/>
  <c r="C8" i="2"/>
  <c r="B8" i="2"/>
  <c r="J3" i="4" l="1"/>
  <c r="D43" i="3"/>
  <c r="K89" i="2"/>
  <c r="H89" i="2"/>
  <c r="I43" i="3" s="1"/>
  <c r="K72" i="2"/>
  <c r="K74" i="2" s="1"/>
  <c r="D89" i="2"/>
  <c r="E43" i="3" s="1"/>
  <c r="H15" i="2"/>
  <c r="H12" i="3" s="1"/>
  <c r="E89" i="2"/>
  <c r="F43" i="3" s="1"/>
  <c r="F89" i="2"/>
  <c r="G43" i="3" s="1"/>
  <c r="E15" i="2"/>
  <c r="E12" i="3" s="1"/>
  <c r="G89" i="2"/>
  <c r="H43" i="3" s="1"/>
  <c r="C15" i="2"/>
  <c r="C12" i="3" s="1"/>
  <c r="B7" i="4" s="1"/>
  <c r="K15" i="2"/>
  <c r="K28" i="2" s="1"/>
  <c r="K29" i="2" s="1"/>
  <c r="I89" i="2"/>
  <c r="J43" i="3" s="1"/>
  <c r="F15" i="2"/>
  <c r="D15" i="2"/>
  <c r="H28" i="2"/>
  <c r="H29" i="2" s="1"/>
  <c r="I15" i="2"/>
  <c r="C74" i="2"/>
  <c r="G15" i="2"/>
  <c r="J15" i="2"/>
  <c r="C28" i="2"/>
  <c r="C29" i="2" s="1"/>
  <c r="B15" i="2"/>
  <c r="B28" i="2" s="1"/>
  <c r="B29" i="2" s="1"/>
  <c r="D74" i="2"/>
  <c r="I74" i="2"/>
  <c r="J74" i="2"/>
  <c r="G74" i="2"/>
  <c r="H74" i="2"/>
  <c r="E74" i="2"/>
  <c r="F74" i="2"/>
  <c r="C33" i="3"/>
  <c r="D33" i="3" s="1"/>
  <c r="E33" i="3" s="1"/>
  <c r="F33" i="3" s="1"/>
  <c r="G33" i="3" s="1"/>
  <c r="H33" i="3" s="1"/>
  <c r="I33" i="3" s="1"/>
  <c r="J33" i="3" s="1"/>
  <c r="I28" i="2" l="1"/>
  <c r="I29" i="2" s="1"/>
  <c r="I12" i="3"/>
  <c r="D28" i="2"/>
  <c r="D29" i="2" s="1"/>
  <c r="D12" i="3"/>
  <c r="F28" i="2"/>
  <c r="F29" i="2" s="1"/>
  <c r="F12" i="3"/>
  <c r="G28" i="2"/>
  <c r="G76" i="2" s="1"/>
  <c r="G12" i="3"/>
  <c r="E28" i="2"/>
  <c r="E29" i="2" s="1"/>
  <c r="J28" i="2"/>
  <c r="J29" i="2" s="1"/>
  <c r="J12" i="3"/>
  <c r="K76" i="2"/>
  <c r="K77" i="2" s="1"/>
  <c r="D76" i="2"/>
  <c r="D77" i="2" s="1"/>
  <c r="H76" i="2"/>
  <c r="H77" i="2" s="1"/>
  <c r="C76" i="2"/>
  <c r="C77" i="2" s="1"/>
  <c r="B76" i="2"/>
  <c r="B23" i="4"/>
  <c r="C28" i="3"/>
  <c r="B22" i="4"/>
  <c r="B17" i="4"/>
  <c r="B28" i="3"/>
  <c r="C22" i="4"/>
  <c r="B80" i="2" l="1"/>
  <c r="B77" i="2"/>
  <c r="J76" i="2"/>
  <c r="J77" i="2" s="1"/>
  <c r="G80" i="2"/>
  <c r="G82" i="2" s="1"/>
  <c r="E3" i="4" s="1"/>
  <c r="G77" i="2"/>
  <c r="G29" i="2"/>
  <c r="I76" i="2"/>
  <c r="F76" i="2"/>
  <c r="E76" i="2"/>
  <c r="E77" i="2" s="1"/>
  <c r="H80" i="2"/>
  <c r="D80" i="2"/>
  <c r="K80" i="2"/>
  <c r="C80" i="2"/>
  <c r="B24" i="4"/>
  <c r="C23" i="4"/>
  <c r="C17" i="4"/>
  <c r="D28" i="3"/>
  <c r="D22" i="4"/>
  <c r="I80" i="2" l="1"/>
  <c r="I77" i="2"/>
  <c r="F80" i="2"/>
  <c r="F77" i="2"/>
  <c r="J80" i="2"/>
  <c r="B84" i="2"/>
  <c r="B82" i="2"/>
  <c r="I82" i="2"/>
  <c r="G3" i="4" s="1"/>
  <c r="C82" i="2"/>
  <c r="D82" i="2"/>
  <c r="H82" i="2"/>
  <c r="F3" i="4" s="1"/>
  <c r="F82" i="2"/>
  <c r="D3" i="4" s="1"/>
  <c r="K82" i="2"/>
  <c r="E80" i="2"/>
  <c r="D23" i="4"/>
  <c r="C24" i="4"/>
  <c r="B9" i="3"/>
  <c r="E28" i="3"/>
  <c r="E22" i="4"/>
  <c r="B42" i="3" l="1"/>
  <c r="B44" i="3" s="1"/>
  <c r="B23" i="3" s="1"/>
  <c r="B24" i="3" s="1"/>
  <c r="J82" i="2"/>
  <c r="H3" i="4" s="1"/>
  <c r="C42" i="3"/>
  <c r="C44" i="3" s="1"/>
  <c r="C23" i="3" s="1"/>
  <c r="B34" i="3"/>
  <c r="C3" i="4"/>
  <c r="E82" i="2"/>
  <c r="I3" i="4"/>
  <c r="D17" i="4"/>
  <c r="D24" i="4"/>
  <c r="E23" i="4"/>
  <c r="C9" i="3"/>
  <c r="E17" i="4"/>
  <c r="F22" i="4"/>
  <c r="F28" i="3"/>
  <c r="B10" i="4" l="1"/>
  <c r="D42" i="3"/>
  <c r="B3" i="4"/>
  <c r="C34" i="3"/>
  <c r="D34" i="3" s="1"/>
  <c r="E34" i="3" s="1"/>
  <c r="F34" i="3" s="1"/>
  <c r="G34" i="3" s="1"/>
  <c r="H34" i="3" s="1"/>
  <c r="I34" i="3" s="1"/>
  <c r="J34" i="3" s="1"/>
  <c r="K34" i="3" s="1"/>
  <c r="F23" i="4"/>
  <c r="E24" i="4"/>
  <c r="D9" i="3"/>
  <c r="F17" i="4"/>
  <c r="G22" i="4"/>
  <c r="G28" i="3"/>
  <c r="L34" i="3" l="1"/>
  <c r="K35" i="3"/>
  <c r="D44" i="3"/>
  <c r="D23" i="3" s="1"/>
  <c r="C10" i="4" s="1"/>
  <c r="E42" i="3"/>
  <c r="F24" i="4"/>
  <c r="E9" i="3"/>
  <c r="G23" i="4"/>
  <c r="G17" i="4"/>
  <c r="H28" i="3"/>
  <c r="H22" i="4"/>
  <c r="M34" i="3" l="1"/>
  <c r="L35" i="3"/>
  <c r="E44" i="3"/>
  <c r="E23" i="3" s="1"/>
  <c r="D10" i="4" s="1"/>
  <c r="F42" i="3"/>
  <c r="F9" i="3"/>
  <c r="G24" i="4"/>
  <c r="H23" i="4"/>
  <c r="I28" i="3"/>
  <c r="I22" i="4"/>
  <c r="M35" i="3" l="1"/>
  <c r="N33" i="3"/>
  <c r="G42" i="3"/>
  <c r="F44" i="3"/>
  <c r="F23" i="3" s="1"/>
  <c r="E10" i="4" s="1"/>
  <c r="I23" i="4"/>
  <c r="G9" i="3"/>
  <c r="H17" i="4"/>
  <c r="H24" i="4"/>
  <c r="I17" i="4"/>
  <c r="J28" i="3"/>
  <c r="O33" i="3" l="1"/>
  <c r="O35" i="3" s="1"/>
  <c r="O37" i="3" s="1"/>
  <c r="N35" i="3"/>
  <c r="N37" i="3" s="1"/>
  <c r="H42" i="3"/>
  <c r="G44" i="3"/>
  <c r="G23" i="3" s="1"/>
  <c r="F10" i="4" s="1"/>
  <c r="I24" i="4"/>
  <c r="H9" i="3"/>
  <c r="N15" i="3" l="1"/>
  <c r="N17" i="3" s="1"/>
  <c r="N38" i="3" s="1"/>
  <c r="M28" i="4"/>
  <c r="O15" i="3"/>
  <c r="O17" i="3" s="1"/>
  <c r="O38" i="3" s="1"/>
  <c r="N28" i="4"/>
  <c r="I42" i="3"/>
  <c r="H44" i="3"/>
  <c r="H23" i="3" s="1"/>
  <c r="G10" i="4" s="1"/>
  <c r="I9" i="3"/>
  <c r="I44" i="3" l="1"/>
  <c r="I23" i="3" s="1"/>
  <c r="H10" i="4" s="1"/>
  <c r="J42" i="3"/>
  <c r="J9" i="3"/>
  <c r="J44" i="3" l="1"/>
  <c r="J23" i="3" s="1"/>
  <c r="K42" i="3"/>
  <c r="I10" i="4"/>
  <c r="K44" i="3" l="1"/>
  <c r="K23" i="3" s="1"/>
  <c r="K24" i="3" s="1"/>
  <c r="K37" i="3" s="1"/>
  <c r="K38" i="3" s="1"/>
  <c r="L42" i="3"/>
  <c r="J10" i="4"/>
  <c r="J12" i="4" s="1"/>
  <c r="J26" i="4" s="1"/>
  <c r="J28" i="4" s="1"/>
  <c r="C7" i="4"/>
  <c r="L44" i="3" l="1"/>
  <c r="L23" i="3" s="1"/>
  <c r="M42" i="3"/>
  <c r="M44" i="3" s="1"/>
  <c r="M23" i="3" s="1"/>
  <c r="B35" i="3"/>
  <c r="B37" i="3" s="1"/>
  <c r="D7" i="4"/>
  <c r="B15" i="3"/>
  <c r="B17" i="3" s="1"/>
  <c r="M24" i="3" l="1"/>
  <c r="M37" i="3" s="1"/>
  <c r="M38" i="3" s="1"/>
  <c r="L10" i="4"/>
  <c r="L12" i="4" s="1"/>
  <c r="L26" i="4" s="1"/>
  <c r="L28" i="4" s="1"/>
  <c r="K10" i="4"/>
  <c r="K12" i="4" s="1"/>
  <c r="K26" i="4" s="1"/>
  <c r="K28" i="4" s="1"/>
  <c r="L24" i="3"/>
  <c r="L37" i="3" s="1"/>
  <c r="L38" i="3" s="1"/>
  <c r="B38" i="3"/>
  <c r="C11" i="4"/>
  <c r="D8" i="4"/>
  <c r="B12" i="4"/>
  <c r="B26" i="4" s="1"/>
  <c r="B28" i="4" s="1"/>
  <c r="C24" i="3"/>
  <c r="D9" i="4"/>
  <c r="E7" i="4"/>
  <c r="C9" i="4"/>
  <c r="C8" i="4"/>
  <c r="D24" i="3" l="1"/>
  <c r="C12" i="4"/>
  <c r="C26" i="4" s="1"/>
  <c r="C28" i="4" s="1"/>
  <c r="E8" i="4"/>
  <c r="F7" i="4"/>
  <c r="E11" i="4" l="1"/>
  <c r="D11" i="4"/>
  <c r="E24" i="3"/>
  <c r="D12" i="4" l="1"/>
  <c r="D26" i="4" s="1"/>
  <c r="D28" i="4" s="1"/>
  <c r="C15" i="3"/>
  <c r="C17" i="3" s="1"/>
  <c r="E9" i="4"/>
  <c r="F24" i="3"/>
  <c r="G7" i="4"/>
  <c r="G8" i="4"/>
  <c r="F11" i="4"/>
  <c r="H7" i="4"/>
  <c r="C35" i="3"/>
  <c r="C37" i="3" s="1"/>
  <c r="F8" i="4"/>
  <c r="C38" i="3" l="1"/>
  <c r="E12" i="4"/>
  <c r="E26" i="4" s="1"/>
  <c r="E28" i="4" s="1"/>
  <c r="D35" i="3"/>
  <c r="D37" i="3" s="1"/>
  <c r="F9" i="4"/>
  <c r="G24" i="3"/>
  <c r="G11" i="4"/>
  <c r="I7" i="4"/>
  <c r="D15" i="3"/>
  <c r="D17" i="3" s="1"/>
  <c r="D38" i="3" l="1"/>
  <c r="E35" i="3"/>
  <c r="E37" i="3" s="1"/>
  <c r="G9" i="4"/>
  <c r="H24" i="3"/>
  <c r="E15" i="3"/>
  <c r="E17" i="3" s="1"/>
  <c r="I8" i="4"/>
  <c r="H11" i="4"/>
  <c r="F12" i="4"/>
  <c r="F26" i="4" s="1"/>
  <c r="F28" i="4" s="1"/>
  <c r="H8" i="4"/>
  <c r="E38" i="3" l="1"/>
  <c r="I11" i="4"/>
  <c r="F35" i="3"/>
  <c r="F37" i="3" s="1"/>
  <c r="F15" i="3"/>
  <c r="F17" i="3" s="1"/>
  <c r="G12" i="4"/>
  <c r="G26" i="4" s="1"/>
  <c r="G28" i="4" s="1"/>
  <c r="H9" i="4"/>
  <c r="I24" i="3"/>
  <c r="F38" i="3" l="1"/>
  <c r="G15" i="3"/>
  <c r="G17" i="3" s="1"/>
  <c r="G35" i="3"/>
  <c r="G37" i="3" s="1"/>
  <c r="G38" i="3" s="1"/>
  <c r="H12" i="4"/>
  <c r="H26" i="4" s="1"/>
  <c r="H28" i="4" s="1"/>
  <c r="I9" i="4"/>
  <c r="J24" i="3"/>
  <c r="I12" i="4" l="1"/>
  <c r="I26" i="4" s="1"/>
  <c r="I28" i="4" s="1"/>
  <c r="H35" i="3"/>
  <c r="H37" i="3" s="1"/>
  <c r="H15" i="3"/>
  <c r="H17" i="3" s="1"/>
  <c r="H38" i="3" l="1"/>
  <c r="I15" i="3"/>
  <c r="I17" i="3" s="1"/>
  <c r="I35" i="3"/>
  <c r="I37" i="3" s="1"/>
  <c r="I38" i="3" l="1"/>
  <c r="J35" i="3"/>
  <c r="J37" i="3" s="1"/>
  <c r="J15" i="3"/>
  <c r="J17" i="3" s="1"/>
  <c r="J38" i="3" l="1"/>
</calcChain>
</file>

<file path=xl/sharedStrings.xml><?xml version="1.0" encoding="utf-8"?>
<sst xmlns="http://schemas.openxmlformats.org/spreadsheetml/2006/main" count="181" uniqueCount="113">
  <si>
    <t>Actuals</t>
  </si>
  <si>
    <t>REVENUE FROM PRODUCT SALES</t>
  </si>
  <si>
    <t>Triple glazed windows</t>
  </si>
  <si>
    <t>Double glazed windows</t>
  </si>
  <si>
    <t>Total revenue from product sales</t>
  </si>
  <si>
    <t xml:space="preserve">RECURRNG REVENUE </t>
  </si>
  <si>
    <t>Use of trademark by distributors</t>
  </si>
  <si>
    <t>Total recurring revenue</t>
  </si>
  <si>
    <t>TOTAL REVENUE</t>
  </si>
  <si>
    <t>COST OF GOODS SOLD</t>
  </si>
  <si>
    <t>Plastics</t>
  </si>
  <si>
    <t>3rd party costs</t>
  </si>
  <si>
    <t>Customer support</t>
  </si>
  <si>
    <t>Cost of sales</t>
  </si>
  <si>
    <t>Gross Profit</t>
  </si>
  <si>
    <t>Gross Profit %</t>
  </si>
  <si>
    <t>OPERATING EXPENSES</t>
  </si>
  <si>
    <t>COMMISSIONS</t>
  </si>
  <si>
    <t>Commissions - sales</t>
  </si>
  <si>
    <t>Commissions - account management</t>
  </si>
  <si>
    <t>Total commissions</t>
  </si>
  <si>
    <t>ADVERTISING AND MARKETING COSTS</t>
  </si>
  <si>
    <t>Advertising expenses</t>
  </si>
  <si>
    <t>Marketing campaigns</t>
  </si>
  <si>
    <t>Industry events</t>
  </si>
  <si>
    <t>Total Advertising and Marketing Costs</t>
  </si>
  <si>
    <t>Staff costs - permanent</t>
  </si>
  <si>
    <t>Staff costs - sub contractors</t>
  </si>
  <si>
    <t>Total staff costs</t>
  </si>
  <si>
    <t>OFFICE  AND WAREHOUSE  COSTS</t>
  </si>
  <si>
    <t>Total warehouse costs</t>
  </si>
  <si>
    <t>PROFESSIONAL FEES</t>
  </si>
  <si>
    <t>Total Professional fees</t>
  </si>
  <si>
    <t>Hardware/Software</t>
  </si>
  <si>
    <t>FINANCE COSTS</t>
  </si>
  <si>
    <t>Bank charges</t>
  </si>
  <si>
    <t>Total finance costs</t>
  </si>
  <si>
    <t>DEPRECIATION AND AMORTISATION</t>
  </si>
  <si>
    <t>Depreciation</t>
  </si>
  <si>
    <t>Total depreciation and amortisation</t>
  </si>
  <si>
    <t>TOTAL OPERATING COSTS</t>
  </si>
  <si>
    <t>OPERATING PROFIT</t>
  </si>
  <si>
    <t>Interest expense</t>
  </si>
  <si>
    <t>NET INCOME BEFORE TAXES</t>
  </si>
  <si>
    <t>Taxes</t>
  </si>
  <si>
    <t>NET INCOME AFTER TAX</t>
  </si>
  <si>
    <t>EBITDA</t>
  </si>
  <si>
    <t>ASSETS</t>
  </si>
  <si>
    <t>LONG TERM ASSETS</t>
  </si>
  <si>
    <t>Fixed assets</t>
  </si>
  <si>
    <t>Accumulated depreciation and amortisation</t>
  </si>
  <si>
    <t>CURRENT ASSETS</t>
  </si>
  <si>
    <t>Debtors</t>
  </si>
  <si>
    <t>Stock</t>
  </si>
  <si>
    <t>Bank</t>
  </si>
  <si>
    <t>Total current assets</t>
  </si>
  <si>
    <t>TOTAL ASSETS</t>
  </si>
  <si>
    <t>CURRENT LIABILITIES</t>
  </si>
  <si>
    <t>Creditors</t>
  </si>
  <si>
    <t>Accrued expenses</t>
  </si>
  <si>
    <t>Taxes payable</t>
  </si>
  <si>
    <t>Total current liabilities</t>
  </si>
  <si>
    <t>LONG TERM LIABILTIES</t>
  </si>
  <si>
    <t>Loan</t>
  </si>
  <si>
    <t>Total long term liabilities</t>
  </si>
  <si>
    <t>CAPITAL AND RESERVES</t>
  </si>
  <si>
    <t>Share capital</t>
  </si>
  <si>
    <t>Share premium</t>
  </si>
  <si>
    <t>Retained earning, brought forward</t>
  </si>
  <si>
    <t>Retained earnings, current period</t>
  </si>
  <si>
    <t>Total capital and reserves</t>
  </si>
  <si>
    <t>TOTAL LIABILITIES, CAPITAL and RESERVES</t>
  </si>
  <si>
    <t>Amortisation and depreciation</t>
  </si>
  <si>
    <t>Change in debtors</t>
  </si>
  <si>
    <t>Change in stock</t>
  </si>
  <si>
    <t>Change in creditors</t>
  </si>
  <si>
    <t>Change in accrued expenses</t>
  </si>
  <si>
    <t>Net cashflow from operating activities</t>
  </si>
  <si>
    <t xml:space="preserve"> </t>
  </si>
  <si>
    <t>Net cashflow from investing activities</t>
  </si>
  <si>
    <t>Debt borrowings and repayment</t>
  </si>
  <si>
    <t>Net cashflow from financing activities</t>
  </si>
  <si>
    <t>Window accessories</t>
  </si>
  <si>
    <t>NET INCOME</t>
  </si>
  <si>
    <t>OPERATING ACTIVITIES</t>
  </si>
  <si>
    <t>INVESTING ACTIVITIES</t>
  </si>
  <si>
    <t>FINANCING ACTIVITIES</t>
  </si>
  <si>
    <t>NET CASHFLOW</t>
  </si>
  <si>
    <t>Warehouse Rent</t>
  </si>
  <si>
    <t>Office expenses</t>
  </si>
  <si>
    <t>Professional fees - Accounting</t>
  </si>
  <si>
    <t>Professional fees - Advisory</t>
  </si>
  <si>
    <t>Professional fees - Legal</t>
  </si>
  <si>
    <t xml:space="preserve">IT &amp; OPERATIONAL </t>
  </si>
  <si>
    <t>Equipment</t>
  </si>
  <si>
    <t>Total IT &amp; Operational costs</t>
  </si>
  <si>
    <t>Silicone</t>
  </si>
  <si>
    <t>Installation costs (Staffing)</t>
  </si>
  <si>
    <t>STAFF COSTS - Overheads</t>
  </si>
  <si>
    <t>HMRC</t>
  </si>
  <si>
    <t>VAT</t>
  </si>
  <si>
    <t>Property, plant &amp; equipment @ cost</t>
  </si>
  <si>
    <t>Check</t>
  </si>
  <si>
    <t>Diff</t>
  </si>
  <si>
    <t>Changes in Taxes due</t>
  </si>
  <si>
    <t>CT</t>
  </si>
  <si>
    <t>Equity raise</t>
  </si>
  <si>
    <t>Total Overheads</t>
  </si>
  <si>
    <t>NEW FINANCIAL YEAR</t>
  </si>
  <si>
    <t>Balancing figure</t>
  </si>
  <si>
    <t>COG Window accessories</t>
  </si>
  <si>
    <t>COG Triple glazed windows</t>
  </si>
  <si>
    <t>COG Double glazed windows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</si>
</sst>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* #,##0_-;\-* #,##0_-;_-* &quot;-&quot;??_-;_-@_-"/>
    <numFmt numFmtId="166" formatCode="#,##0_);\(#,##0\);\-_)"/>
    <numFmt numFmtId="167" formatCode="0.0%"/>
    <numFmt numFmtId="168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17" fontId="2" fillId="0" borderId="0" xfId="0" applyNumberFormat="1" applyFont="1"/>
    <xf numFmtId="165" fontId="0" fillId="0" borderId="0" xfId="1" applyNumberFormat="1" applyFont="1"/>
    <xf numFmtId="165" fontId="3" fillId="0" borderId="0" xfId="1" applyNumberFormat="1" applyFont="1"/>
    <xf numFmtId="165" fontId="0" fillId="0" borderId="0" xfId="0" applyNumberFormat="1"/>
    <xf numFmtId="9" fontId="0" fillId="0" borderId="0" xfId="2" applyFont="1"/>
    <xf numFmtId="165" fontId="0" fillId="0" borderId="0" xfId="1" applyNumberFormat="1" applyFont="1" applyAlignment="1">
      <alignment wrapText="1"/>
    </xf>
    <xf numFmtId="0" fontId="2" fillId="0" borderId="0" xfId="0" applyFont="1"/>
    <xf numFmtId="0" fontId="4" fillId="0" borderId="1" xfId="0" applyFont="1" applyBorder="1"/>
    <xf numFmtId="165" fontId="0" fillId="0" borderId="1" xfId="0" applyNumberFormat="1" applyBorder="1"/>
    <xf numFmtId="0" fontId="2" fillId="0" borderId="2" xfId="0" applyFont="1" applyBorder="1"/>
    <xf numFmtId="165" fontId="2" fillId="0" borderId="2" xfId="0" applyNumberFormat="1" applyFont="1" applyBorder="1"/>
    <xf numFmtId="165" fontId="0" fillId="0" borderId="1" xfId="1" applyNumberFormat="1" applyFont="1" applyBorder="1"/>
    <xf numFmtId="0" fontId="4" fillId="0" borderId="0" xfId="0" applyFont="1"/>
    <xf numFmtId="0" fontId="0" fillId="0" borderId="1" xfId="0" applyBorder="1"/>
    <xf numFmtId="0" fontId="2" fillId="0" borderId="1" xfId="0" applyFont="1" applyBorder="1" applyAlignment="1">
      <alignment wrapText="1"/>
    </xf>
    <xf numFmtId="0" fontId="2" fillId="0" borderId="1" xfId="0" applyFont="1" applyBorder="1"/>
    <xf numFmtId="166" fontId="0" fillId="0" borderId="0" xfId="0" applyNumberFormat="1"/>
    <xf numFmtId="0" fontId="0" fillId="0" borderId="0" xfId="0" applyAlignment="1">
      <alignment horizontal="left" indent="1"/>
    </xf>
    <xf numFmtId="0" fontId="0" fillId="0" borderId="0" xfId="0" quotePrefix="1" applyAlignment="1">
      <alignment horizontal="left" indent="1"/>
    </xf>
    <xf numFmtId="167" fontId="0" fillId="0" borderId="0" xfId="2" applyNumberFormat="1" applyFont="1"/>
    <xf numFmtId="166" fontId="0" fillId="0" borderId="0" xfId="1" applyNumberFormat="1" applyFont="1"/>
    <xf numFmtId="166" fontId="0" fillId="0" borderId="1" xfId="0" applyNumberFormat="1" applyBorder="1"/>
    <xf numFmtId="0" fontId="0" fillId="0" borderId="0" xfId="0" applyAlignment="1">
      <alignment horizontal="left" wrapText="1" indent="1"/>
    </xf>
    <xf numFmtId="0" fontId="2" fillId="0" borderId="0" xfId="0" quotePrefix="1" applyFont="1" applyAlignment="1">
      <alignment horizontal="left"/>
    </xf>
    <xf numFmtId="166" fontId="0" fillId="0" borderId="1" xfId="1" applyNumberFormat="1" applyFont="1" applyBorder="1"/>
    <xf numFmtId="166" fontId="2" fillId="0" borderId="2" xfId="1" applyNumberFormat="1" applyFont="1" applyBorder="1"/>
    <xf numFmtId="168" fontId="0" fillId="0" borderId="0" xfId="2" applyNumberFormat="1" applyFont="1"/>
    <xf numFmtId="166" fontId="0" fillId="0" borderId="0" xfId="0" quotePrefix="1" applyNumberFormat="1" applyAlignment="1">
      <alignment horizontal="left"/>
    </xf>
    <xf numFmtId="166" fontId="0" fillId="0" borderId="0" xfId="0" applyNumberFormat="1" applyAlignment="1">
      <alignment horizontal="left" indent="1"/>
    </xf>
    <xf numFmtId="166" fontId="0" fillId="0" borderId="0" xfId="1" applyNumberFormat="1" applyFont="1" applyFill="1"/>
    <xf numFmtId="166" fontId="2" fillId="0" borderId="1" xfId="1" applyNumberFormat="1" applyFont="1" applyBorder="1"/>
    <xf numFmtId="166" fontId="0" fillId="0" borderId="0" xfId="2" applyNumberFormat="1" applyFont="1"/>
    <xf numFmtId="0" fontId="5" fillId="0" borderId="0" xfId="0" applyFont="1"/>
    <xf numFmtId="166" fontId="5" fillId="0" borderId="0" xfId="1" applyNumberFormat="1" applyFont="1"/>
    <xf numFmtId="166" fontId="5" fillId="0" borderId="0" xfId="0" applyNumberFormat="1" applyFont="1"/>
    <xf numFmtId="0" fontId="0" fillId="0" borderId="0" xfId="0" applyAlignment="1">
      <alignment horizontal="left" indent="2"/>
    </xf>
    <xf numFmtId="165" fontId="2" fillId="0" borderId="1" xfId="0" applyNumberFormat="1" applyFont="1" applyBorder="1"/>
    <xf numFmtId="0" fontId="2" fillId="0" borderId="1" xfId="0" applyFont="1" applyBorder="1" applyAlignment="1">
      <alignment horizontal="left" indent="1"/>
    </xf>
    <xf numFmtId="165" fontId="0" fillId="0" borderId="0" xfId="1" applyNumberFormat="1" applyFont="1" applyBorder="1"/>
    <xf numFmtId="166" fontId="0" fillId="3" borderId="0" xfId="1" applyNumberFormat="1" applyFont="1" applyFill="1"/>
    <xf numFmtId="0" fontId="4" fillId="2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617F1-602B-498F-8D31-8F926628B72B}">
  <dimension ref="A1:P92"/>
  <sheetViews>
    <sheetView showGridLines="0"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12" sqref="A12:XFD12"/>
    </sheetView>
  </sheetViews>
  <sheetFormatPr baseColWidth="10" defaultColWidth="8.83203125" defaultRowHeight="15" x14ac:dyDescent="0.2"/>
  <cols>
    <col min="1" max="1" width="35.1640625" bestFit="1" customWidth="1"/>
    <col min="2" max="2" width="11.5" hidden="1" customWidth="1"/>
    <col min="3" max="11" width="11.33203125" bestFit="1" customWidth="1"/>
  </cols>
  <sheetData>
    <row r="1" spans="1:16" x14ac:dyDescent="0.2">
      <c r="C1" s="41" t="s">
        <v>0</v>
      </c>
      <c r="D1" s="41"/>
      <c r="E1" s="41"/>
      <c r="F1" s="41"/>
      <c r="G1" s="41"/>
      <c r="H1" s="41"/>
      <c r="I1" s="41"/>
      <c r="J1" s="41"/>
      <c r="K1" s="41"/>
      <c r="O1" s="7" t="s">
        <v>108</v>
      </c>
    </row>
    <row r="2" spans="1:16" x14ac:dyDescent="0.2">
      <c r="C2" s="1">
        <v>45505</v>
      </c>
      <c r="D2" s="1">
        <v>45536</v>
      </c>
      <c r="E2" s="1">
        <v>45566</v>
      </c>
      <c r="F2" s="1">
        <v>45597</v>
      </c>
      <c r="G2" s="1">
        <v>45627</v>
      </c>
      <c r="H2" s="1">
        <v>45658</v>
      </c>
      <c r="I2" s="1">
        <v>45689</v>
      </c>
      <c r="J2" s="1">
        <v>45717</v>
      </c>
      <c r="K2" s="1">
        <v>45748</v>
      </c>
      <c r="L2" s="1">
        <v>45778</v>
      </c>
      <c r="M2" s="1">
        <v>45809</v>
      </c>
      <c r="N2" s="1">
        <v>45839</v>
      </c>
      <c r="O2" s="1">
        <v>45870</v>
      </c>
      <c r="P2" s="1">
        <v>45901</v>
      </c>
    </row>
    <row r="4" spans="1:16" x14ac:dyDescent="0.2">
      <c r="A4" s="7" t="s">
        <v>1</v>
      </c>
    </row>
    <row r="5" spans="1:16" x14ac:dyDescent="0.2">
      <c r="A5" s="18" t="s">
        <v>82</v>
      </c>
      <c r="B5" s="3">
        <v>20000</v>
      </c>
      <c r="C5" s="4">
        <v>24000</v>
      </c>
      <c r="D5" s="4">
        <v>28800</v>
      </c>
      <c r="E5" s="4">
        <v>34560</v>
      </c>
      <c r="F5" s="4">
        <v>41472</v>
      </c>
      <c r="G5" s="4">
        <v>49766.400000000001</v>
      </c>
      <c r="H5" s="4">
        <v>59719.68</v>
      </c>
      <c r="I5" s="4">
        <v>71663.615999999995</v>
      </c>
      <c r="J5" s="4">
        <v>85996.339199999988</v>
      </c>
      <c r="K5" s="4">
        <v>82999</v>
      </c>
      <c r="L5" s="4">
        <v>75001</v>
      </c>
      <c r="M5" s="4">
        <v>73986</v>
      </c>
      <c r="N5" s="4">
        <v>70666</v>
      </c>
      <c r="O5" s="4">
        <v>85996.339199999988</v>
      </c>
      <c r="P5" s="4">
        <v>82999</v>
      </c>
    </row>
    <row r="6" spans="1:16" x14ac:dyDescent="0.2">
      <c r="A6" s="18" t="s">
        <v>2</v>
      </c>
      <c r="B6" s="3">
        <v>150000</v>
      </c>
      <c r="C6" s="4">
        <v>160507</v>
      </c>
      <c r="D6" s="4">
        <v>171735</v>
      </c>
      <c r="E6" s="4">
        <v>183756</v>
      </c>
      <c r="F6" s="4">
        <v>196619</v>
      </c>
      <c r="G6" s="4">
        <v>210382</v>
      </c>
      <c r="H6" s="4">
        <v>225109</v>
      </c>
      <c r="I6" s="4">
        <v>240867</v>
      </c>
      <c r="J6" s="4">
        <v>257727</v>
      </c>
      <c r="K6" s="4">
        <v>290650</v>
      </c>
      <c r="L6" s="4">
        <v>265998</v>
      </c>
      <c r="M6" s="4">
        <v>260469</v>
      </c>
      <c r="N6" s="4">
        <v>254897</v>
      </c>
      <c r="O6" s="4">
        <v>257727</v>
      </c>
      <c r="P6" s="4">
        <v>290650</v>
      </c>
    </row>
    <row r="7" spans="1:16" x14ac:dyDescent="0.2">
      <c r="A7" s="18" t="s">
        <v>3</v>
      </c>
      <c r="B7" s="3">
        <v>300000</v>
      </c>
      <c r="C7" s="4">
        <v>315005</v>
      </c>
      <c r="D7" s="4">
        <v>330751</v>
      </c>
      <c r="E7" s="4">
        <v>347287</v>
      </c>
      <c r="F7" s="4">
        <v>364651</v>
      </c>
      <c r="G7" s="4">
        <v>382884</v>
      </c>
      <c r="H7" s="4">
        <v>402028</v>
      </c>
      <c r="I7" s="4">
        <v>422130</v>
      </c>
      <c r="J7" s="4">
        <v>443236</v>
      </c>
      <c r="K7" s="4">
        <v>460280</v>
      </c>
      <c r="L7" s="4">
        <v>456239</v>
      </c>
      <c r="M7" s="4">
        <v>449236</v>
      </c>
      <c r="N7" s="4">
        <v>435931</v>
      </c>
      <c r="O7" s="4">
        <v>443236</v>
      </c>
      <c r="P7" s="4">
        <v>460280</v>
      </c>
    </row>
    <row r="8" spans="1:16" x14ac:dyDescent="0.2">
      <c r="A8" s="8" t="s">
        <v>4</v>
      </c>
      <c r="B8" s="9">
        <f t="shared" ref="B8:K8" si="0">SUM(B5:B7)</f>
        <v>470000</v>
      </c>
      <c r="C8" s="9">
        <f t="shared" si="0"/>
        <v>499512</v>
      </c>
      <c r="D8" s="9">
        <f t="shared" si="0"/>
        <v>531286</v>
      </c>
      <c r="E8" s="9">
        <f t="shared" si="0"/>
        <v>565603</v>
      </c>
      <c r="F8" s="9">
        <f t="shared" si="0"/>
        <v>602742</v>
      </c>
      <c r="G8" s="9">
        <f t="shared" si="0"/>
        <v>643032.4</v>
      </c>
      <c r="H8" s="9">
        <f t="shared" si="0"/>
        <v>686856.67999999993</v>
      </c>
      <c r="I8" s="9">
        <f t="shared" si="0"/>
        <v>734660.61599999992</v>
      </c>
      <c r="J8" s="9">
        <f t="shared" si="0"/>
        <v>786959.33920000005</v>
      </c>
      <c r="K8" s="9">
        <f t="shared" si="0"/>
        <v>833929</v>
      </c>
      <c r="L8" s="9">
        <f t="shared" ref="L8:P8" si="1">SUM(L5:L7)</f>
        <v>797238</v>
      </c>
      <c r="M8" s="9">
        <f t="shared" si="1"/>
        <v>783691</v>
      </c>
      <c r="N8" s="9">
        <f t="shared" si="1"/>
        <v>761494</v>
      </c>
      <c r="O8" s="9">
        <f t="shared" si="1"/>
        <v>786959.33920000005</v>
      </c>
      <c r="P8" s="9">
        <f t="shared" si="1"/>
        <v>833929</v>
      </c>
    </row>
    <row r="9" spans="1:16" x14ac:dyDescent="0.2">
      <c r="B9" s="4"/>
      <c r="C9" s="4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 x14ac:dyDescent="0.2">
      <c r="A10" s="7" t="s">
        <v>5</v>
      </c>
    </row>
    <row r="11" spans="1:16" x14ac:dyDescent="0.2">
      <c r="A11" s="18" t="s">
        <v>6</v>
      </c>
      <c r="B11" s="3">
        <v>10000</v>
      </c>
      <c r="C11" s="2">
        <v>10000</v>
      </c>
      <c r="D11" s="2">
        <v>0</v>
      </c>
      <c r="E11" s="2">
        <v>5000</v>
      </c>
      <c r="F11" s="2">
        <v>12000</v>
      </c>
      <c r="G11" s="2">
        <v>5000</v>
      </c>
      <c r="H11" s="2">
        <v>0</v>
      </c>
      <c r="I11" s="2">
        <v>25000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</row>
    <row r="12" spans="1:16" x14ac:dyDescent="0.2">
      <c r="A12" s="8" t="s">
        <v>7</v>
      </c>
      <c r="B12" s="9">
        <f>SUM(B11)</f>
        <v>10000</v>
      </c>
      <c r="C12" s="9">
        <f t="shared" ref="C12:K12" si="2">SUM(C11)</f>
        <v>10000</v>
      </c>
      <c r="D12" s="9">
        <f t="shared" si="2"/>
        <v>0</v>
      </c>
      <c r="E12" s="9">
        <f t="shared" si="2"/>
        <v>5000</v>
      </c>
      <c r="F12" s="9">
        <f t="shared" si="2"/>
        <v>12000</v>
      </c>
      <c r="G12" s="9">
        <f t="shared" si="2"/>
        <v>5000</v>
      </c>
      <c r="H12" s="9">
        <f t="shared" si="2"/>
        <v>0</v>
      </c>
      <c r="I12" s="9">
        <f t="shared" si="2"/>
        <v>25000</v>
      </c>
      <c r="J12" s="9">
        <f t="shared" si="2"/>
        <v>0</v>
      </c>
      <c r="K12" s="9">
        <f t="shared" si="2"/>
        <v>0</v>
      </c>
      <c r="L12" s="9">
        <f t="shared" ref="L12:P12" si="3">SUM(L11)</f>
        <v>0</v>
      </c>
      <c r="M12" s="9">
        <f t="shared" si="3"/>
        <v>0</v>
      </c>
      <c r="N12" s="9">
        <f t="shared" si="3"/>
        <v>0</v>
      </c>
      <c r="O12" s="9">
        <f t="shared" si="3"/>
        <v>0</v>
      </c>
      <c r="P12" s="9">
        <f t="shared" si="3"/>
        <v>0</v>
      </c>
    </row>
    <row r="13" spans="1:16" ht="16" customHeight="1" x14ac:dyDescent="0.2"/>
    <row r="15" spans="1:16" ht="16" thickBot="1" x14ac:dyDescent="0.25">
      <c r="A15" s="10" t="s">
        <v>8</v>
      </c>
      <c r="B15" s="11">
        <f>B12+B8</f>
        <v>480000</v>
      </c>
      <c r="C15" s="11">
        <f>C12+C8</f>
        <v>509512</v>
      </c>
      <c r="D15" s="11">
        <f t="shared" ref="D15:K15" si="4">D12+D8</f>
        <v>531286</v>
      </c>
      <c r="E15" s="11">
        <f t="shared" si="4"/>
        <v>570603</v>
      </c>
      <c r="F15" s="11">
        <f t="shared" si="4"/>
        <v>614742</v>
      </c>
      <c r="G15" s="11">
        <f t="shared" si="4"/>
        <v>648032.4</v>
      </c>
      <c r="H15" s="11">
        <f t="shared" si="4"/>
        <v>686856.67999999993</v>
      </c>
      <c r="I15" s="11">
        <f t="shared" si="4"/>
        <v>759660.61599999992</v>
      </c>
      <c r="J15" s="11">
        <f t="shared" si="4"/>
        <v>786959.33920000005</v>
      </c>
      <c r="K15" s="11">
        <f t="shared" si="4"/>
        <v>833929</v>
      </c>
      <c r="L15" s="11">
        <f t="shared" ref="L15:P15" si="5">L12+L8</f>
        <v>797238</v>
      </c>
      <c r="M15" s="11">
        <f t="shared" si="5"/>
        <v>783691</v>
      </c>
      <c r="N15" s="11">
        <f t="shared" si="5"/>
        <v>761494</v>
      </c>
      <c r="O15" s="11">
        <f t="shared" si="5"/>
        <v>786959.33920000005</v>
      </c>
      <c r="P15" s="11">
        <f t="shared" si="5"/>
        <v>833929</v>
      </c>
    </row>
    <row r="16" spans="1:16" ht="16" thickTop="1" x14ac:dyDescent="0.2"/>
    <row r="17" spans="1:16" x14ac:dyDescent="0.2">
      <c r="A17" s="7" t="s">
        <v>9</v>
      </c>
    </row>
    <row r="18" spans="1:16" x14ac:dyDescent="0.2">
      <c r="A18" s="18" t="s">
        <v>110</v>
      </c>
      <c r="B18" s="4">
        <v>10000</v>
      </c>
      <c r="C18" s="4">
        <v>12000</v>
      </c>
      <c r="D18" s="4">
        <v>14400</v>
      </c>
      <c r="E18" s="4">
        <v>17280</v>
      </c>
      <c r="F18" s="4">
        <v>20736</v>
      </c>
      <c r="G18" s="4">
        <v>24883.200000000001</v>
      </c>
      <c r="H18" s="4">
        <v>29859.84</v>
      </c>
      <c r="I18" s="4">
        <v>35831.807999999997</v>
      </c>
      <c r="J18" s="4">
        <v>42998.169599999994</v>
      </c>
      <c r="K18" s="4">
        <v>41499.5</v>
      </c>
      <c r="L18" s="4">
        <f>51%*L5</f>
        <v>38250.51</v>
      </c>
      <c r="M18" s="4">
        <f t="shared" ref="M18:N18" si="6">51%*M5</f>
        <v>37732.86</v>
      </c>
      <c r="N18" s="4">
        <f t="shared" si="6"/>
        <v>36039.660000000003</v>
      </c>
      <c r="O18" s="4">
        <v>42998.169599999994</v>
      </c>
      <c r="P18" s="4">
        <v>41499.5</v>
      </c>
    </row>
    <row r="19" spans="1:16" x14ac:dyDescent="0.2">
      <c r="A19" s="18" t="s">
        <v>111</v>
      </c>
      <c r="B19" s="4">
        <v>60000</v>
      </c>
      <c r="C19" s="4">
        <v>64202.8</v>
      </c>
      <c r="D19" s="4">
        <v>68694</v>
      </c>
      <c r="E19" s="4">
        <v>73502.400000000009</v>
      </c>
      <c r="F19" s="4">
        <v>78647.600000000006</v>
      </c>
      <c r="G19" s="4">
        <v>84152.8</v>
      </c>
      <c r="H19" s="4">
        <v>90043.6</v>
      </c>
      <c r="I19" s="4">
        <v>96346.8</v>
      </c>
      <c r="J19" s="4">
        <v>103090.8</v>
      </c>
      <c r="K19" s="4">
        <v>116260</v>
      </c>
      <c r="L19" s="4">
        <f>L6*41%</f>
        <v>109059.18</v>
      </c>
      <c r="M19" s="4">
        <f t="shared" ref="M19:N19" si="7">M6*41%</f>
        <v>106792.29</v>
      </c>
      <c r="N19" s="4">
        <f t="shared" si="7"/>
        <v>104507.76999999999</v>
      </c>
      <c r="O19" s="4">
        <v>103090.8</v>
      </c>
      <c r="P19" s="4">
        <v>116260</v>
      </c>
    </row>
    <row r="20" spans="1:16" x14ac:dyDescent="0.2">
      <c r="A20" s="18" t="s">
        <v>112</v>
      </c>
      <c r="B20" s="4">
        <v>177272.72727272729</v>
      </c>
      <c r="C20" s="4">
        <v>186139.31818181821</v>
      </c>
      <c r="D20" s="4">
        <v>195443.77272727274</v>
      </c>
      <c r="E20" s="4">
        <v>205215.04545454547</v>
      </c>
      <c r="F20" s="4">
        <v>215475.59090909091</v>
      </c>
      <c r="G20" s="4">
        <v>226249.63636363638</v>
      </c>
      <c r="H20" s="4">
        <v>237562</v>
      </c>
      <c r="I20" s="4">
        <v>249440.45454545456</v>
      </c>
      <c r="J20" s="4">
        <v>261912.18181818182</v>
      </c>
      <c r="K20" s="4">
        <v>271983.63636363635</v>
      </c>
      <c r="L20" s="4">
        <f>L7*59%</f>
        <v>269181.01</v>
      </c>
      <c r="M20" s="4">
        <f t="shared" ref="M20" si="8">M7*60%</f>
        <v>269541.59999999998</v>
      </c>
      <c r="N20" s="4">
        <f>N7*61%</f>
        <v>265917.90999999997</v>
      </c>
      <c r="O20" s="4">
        <v>261912.18181818182</v>
      </c>
      <c r="P20" s="4">
        <v>271983.63636363635</v>
      </c>
    </row>
    <row r="21" spans="1:16" x14ac:dyDescent="0.2">
      <c r="A21" s="19" t="s">
        <v>97</v>
      </c>
      <c r="B21" s="17">
        <v>43286.476190476191</v>
      </c>
      <c r="C21" s="17">
        <v>43286.476190476191</v>
      </c>
      <c r="D21" s="17">
        <v>44337.47</v>
      </c>
      <c r="E21" s="17">
        <v>44337.47</v>
      </c>
      <c r="F21" s="17">
        <v>49901.859531249997</v>
      </c>
      <c r="G21" s="17">
        <v>52609.19</v>
      </c>
      <c r="H21" s="17">
        <v>55778.296208203123</v>
      </c>
      <c r="I21" s="17">
        <v>53375.46</v>
      </c>
      <c r="J21" s="17">
        <v>53817.979999999989</v>
      </c>
      <c r="K21" s="17">
        <v>54353</v>
      </c>
      <c r="L21" s="17">
        <v>55223</v>
      </c>
      <c r="M21" s="17">
        <v>56497</v>
      </c>
      <c r="N21" s="17">
        <v>57221</v>
      </c>
      <c r="O21" s="17">
        <v>53817.979999999989</v>
      </c>
      <c r="P21" s="17">
        <v>54353</v>
      </c>
    </row>
    <row r="22" spans="1:16" x14ac:dyDescent="0.2">
      <c r="A22" s="18" t="s">
        <v>96</v>
      </c>
      <c r="B22" s="2">
        <v>5000</v>
      </c>
      <c r="C22" s="4">
        <v>6524</v>
      </c>
      <c r="D22" s="4">
        <v>6323.88</v>
      </c>
      <c r="E22" s="4">
        <v>7413.1516000000001</v>
      </c>
      <c r="F22" s="4">
        <v>8767.9302120000011</v>
      </c>
      <c r="G22" s="4">
        <v>9127.4498268400021</v>
      </c>
      <c r="H22" s="4">
        <v>9794.6803597188027</v>
      </c>
      <c r="I22" s="4">
        <v>13037.068066149117</v>
      </c>
      <c r="J22" s="4">
        <v>12487.423616892056</v>
      </c>
      <c r="K22" s="4">
        <v>14184.987336452623</v>
      </c>
      <c r="L22" s="4">
        <v>13896</v>
      </c>
      <c r="M22" s="4">
        <v>14002</v>
      </c>
      <c r="N22" s="4">
        <v>14555</v>
      </c>
      <c r="O22" s="4">
        <v>12487.423616892056</v>
      </c>
      <c r="P22" s="4">
        <v>14184.987336452623</v>
      </c>
    </row>
    <row r="23" spans="1:16" x14ac:dyDescent="0.2">
      <c r="A23" s="18" t="s">
        <v>10</v>
      </c>
      <c r="B23" s="2">
        <v>3000</v>
      </c>
      <c r="C23" s="4">
        <v>4077.5</v>
      </c>
      <c r="D23" s="4">
        <v>3952.4250000000002</v>
      </c>
      <c r="E23" s="4">
        <v>4633.2197500000002</v>
      </c>
      <c r="F23" s="4">
        <v>5479.9563825000005</v>
      </c>
      <c r="G23" s="4">
        <v>5704.6561417750017</v>
      </c>
      <c r="H23" s="4">
        <v>6121.6752248242519</v>
      </c>
      <c r="I23" s="4">
        <v>8148.1675413431985</v>
      </c>
      <c r="J23" s="4">
        <v>7804.6397605575348</v>
      </c>
      <c r="K23" s="4">
        <v>8865.6170852828891</v>
      </c>
      <c r="L23" s="4">
        <v>9555</v>
      </c>
      <c r="M23" s="4">
        <v>8956</v>
      </c>
      <c r="N23" s="4">
        <v>9002</v>
      </c>
      <c r="O23" s="4">
        <v>7804.6397605575348</v>
      </c>
      <c r="P23" s="4">
        <v>8865.6170852828891</v>
      </c>
    </row>
    <row r="24" spans="1:16" x14ac:dyDescent="0.2">
      <c r="A24" s="18" t="s">
        <v>11</v>
      </c>
      <c r="B24" s="2">
        <v>1500</v>
      </c>
      <c r="C24" s="4">
        <v>2446.5</v>
      </c>
      <c r="D24" s="4">
        <v>2371.4549999999999</v>
      </c>
      <c r="E24" s="4">
        <v>2779.9318499999999</v>
      </c>
      <c r="F24" s="4">
        <v>3287.9738295000002</v>
      </c>
      <c r="G24" s="4">
        <v>3422.7936850650003</v>
      </c>
      <c r="H24" s="4">
        <v>3673.0051348945508</v>
      </c>
      <c r="I24" s="4">
        <v>4888.9005248059184</v>
      </c>
      <c r="J24" s="4">
        <v>4682.7838563345204</v>
      </c>
      <c r="K24" s="4">
        <v>5319.3702511697329</v>
      </c>
      <c r="L24" s="4">
        <v>5400</v>
      </c>
      <c r="M24" s="4">
        <v>5521</v>
      </c>
      <c r="N24" s="4">
        <v>5320</v>
      </c>
      <c r="O24" s="4">
        <v>4682.7838563345204</v>
      </c>
      <c r="P24" s="4">
        <v>5319.3702511697329</v>
      </c>
    </row>
    <row r="25" spans="1:16" x14ac:dyDescent="0.2">
      <c r="A25" s="18" t="s">
        <v>12</v>
      </c>
      <c r="B25" s="2">
        <v>3500</v>
      </c>
      <c r="C25" s="4">
        <v>2446.5</v>
      </c>
      <c r="D25" s="4">
        <v>2371.4549999999999</v>
      </c>
      <c r="E25" s="4">
        <v>2779.9318499999999</v>
      </c>
      <c r="F25" s="4">
        <v>3287.9738295000002</v>
      </c>
      <c r="G25" s="4">
        <v>3422.7936850650003</v>
      </c>
      <c r="H25" s="4">
        <v>3673.0051348945508</v>
      </c>
      <c r="I25" s="4">
        <v>4888.9005248059184</v>
      </c>
      <c r="J25" s="4">
        <v>4682.7838563345204</v>
      </c>
      <c r="K25" s="4">
        <v>5319.3702511697329</v>
      </c>
      <c r="L25" s="4">
        <v>4888.9005248059184</v>
      </c>
      <c r="M25" s="4">
        <v>4682.7838563345204</v>
      </c>
      <c r="N25" s="4">
        <v>4999</v>
      </c>
      <c r="O25" s="4">
        <v>4682.7838563345204</v>
      </c>
      <c r="P25" s="4">
        <v>5319.3702511697329</v>
      </c>
    </row>
    <row r="26" spans="1:16" x14ac:dyDescent="0.2">
      <c r="A26" s="8" t="s">
        <v>13</v>
      </c>
      <c r="B26" s="12">
        <f>SUM(B18:B25)</f>
        <v>303559.20346320351</v>
      </c>
      <c r="C26" s="12">
        <f>SUM(C18:C25)</f>
        <v>321123.09437229444</v>
      </c>
      <c r="D26" s="12">
        <f t="shared" ref="D26:K26" si="9">SUM(D18:D25)</f>
        <v>337894.4577272727</v>
      </c>
      <c r="E26" s="12">
        <f t="shared" si="9"/>
        <v>357941.15050454548</v>
      </c>
      <c r="F26" s="12">
        <f t="shared" si="9"/>
        <v>385584.88469384093</v>
      </c>
      <c r="G26" s="12">
        <f t="shared" si="9"/>
        <v>409572.5197023814</v>
      </c>
      <c r="H26" s="12">
        <f t="shared" si="9"/>
        <v>436506.1020625353</v>
      </c>
      <c r="I26" s="12">
        <f t="shared" si="9"/>
        <v>465957.55920255883</v>
      </c>
      <c r="J26" s="12">
        <f t="shared" si="9"/>
        <v>491476.76250830048</v>
      </c>
      <c r="K26" s="12">
        <f t="shared" si="9"/>
        <v>517785.4812877113</v>
      </c>
      <c r="L26" s="12">
        <f t="shared" ref="L26:P26" si="10">SUM(L18:L25)</f>
        <v>505453.60052480595</v>
      </c>
      <c r="M26" s="12">
        <f t="shared" si="10"/>
        <v>503725.53385633451</v>
      </c>
      <c r="N26" s="12">
        <f t="shared" si="10"/>
        <v>497562.33999999997</v>
      </c>
      <c r="O26" s="12">
        <f t="shared" si="10"/>
        <v>491476.76250830048</v>
      </c>
      <c r="P26" s="12">
        <f t="shared" si="10"/>
        <v>517785.4812877113</v>
      </c>
    </row>
    <row r="28" spans="1:16" x14ac:dyDescent="0.2">
      <c r="A28" s="13" t="s">
        <v>14</v>
      </c>
      <c r="B28" s="4">
        <f>B15-B26</f>
        <v>176440.79653679649</v>
      </c>
      <c r="C28" s="4">
        <f>C15-C26</f>
        <v>188388.90562770556</v>
      </c>
      <c r="D28" s="4">
        <f t="shared" ref="D28:K28" si="11">D15-D26</f>
        <v>193391.5422727273</v>
      </c>
      <c r="E28" s="4">
        <f t="shared" si="11"/>
        <v>212661.84949545452</v>
      </c>
      <c r="F28" s="4">
        <f t="shared" si="11"/>
        <v>229157.11530615907</v>
      </c>
      <c r="G28" s="4">
        <f t="shared" si="11"/>
        <v>238459.88029761863</v>
      </c>
      <c r="H28" s="4">
        <f t="shared" si="11"/>
        <v>250350.57793746464</v>
      </c>
      <c r="I28" s="4">
        <f t="shared" si="11"/>
        <v>293703.0567974411</v>
      </c>
      <c r="J28" s="4">
        <f t="shared" si="11"/>
        <v>295482.57669169956</v>
      </c>
      <c r="K28" s="4">
        <f t="shared" si="11"/>
        <v>316143.5187122887</v>
      </c>
      <c r="L28" s="4">
        <f t="shared" ref="L28:P28" si="12">L15-L26</f>
        <v>291784.39947519405</v>
      </c>
      <c r="M28" s="4">
        <f t="shared" si="12"/>
        <v>279965.46614366549</v>
      </c>
      <c r="N28" s="4">
        <f t="shared" si="12"/>
        <v>263931.66000000003</v>
      </c>
      <c r="O28" s="4">
        <f t="shared" si="12"/>
        <v>295482.57669169956</v>
      </c>
      <c r="P28" s="4">
        <f t="shared" si="12"/>
        <v>316143.5187122887</v>
      </c>
    </row>
    <row r="29" spans="1:16" x14ac:dyDescent="0.2">
      <c r="A29" s="13" t="s">
        <v>15</v>
      </c>
      <c r="B29" s="5">
        <f>B28/B15</f>
        <v>0.36758499278499268</v>
      </c>
      <c r="C29" s="5">
        <f>C28/C15</f>
        <v>0.36974380510705451</v>
      </c>
      <c r="D29" s="5">
        <f t="shared" ref="D29:K29" si="13">D28/D15</f>
        <v>0.36400647160423444</v>
      </c>
      <c r="E29" s="5">
        <f t="shared" si="13"/>
        <v>0.37269669016015428</v>
      </c>
      <c r="F29" s="5">
        <f t="shared" si="13"/>
        <v>0.37276957700329416</v>
      </c>
      <c r="G29" s="5">
        <f t="shared" si="13"/>
        <v>0.36797524367241302</v>
      </c>
      <c r="H29" s="5">
        <f t="shared" si="13"/>
        <v>0.36448735992123521</v>
      </c>
      <c r="I29" s="5">
        <f t="shared" si="13"/>
        <v>0.38662404054054728</v>
      </c>
      <c r="J29" s="5">
        <f t="shared" si="13"/>
        <v>0.37547375318282461</v>
      </c>
      <c r="K29" s="5">
        <f t="shared" si="13"/>
        <v>0.37910124088775987</v>
      </c>
      <c r="L29" s="5">
        <f t="shared" ref="L29:P29" si="14">L28/L15</f>
        <v>0.36599409395336657</v>
      </c>
      <c r="M29" s="5">
        <f t="shared" si="14"/>
        <v>0.35723960865145254</v>
      </c>
      <c r="N29" s="5">
        <f t="shared" si="14"/>
        <v>0.34659716294547305</v>
      </c>
      <c r="O29" s="5">
        <f t="shared" si="14"/>
        <v>0.37547375318282461</v>
      </c>
      <c r="P29" s="5">
        <f t="shared" si="14"/>
        <v>0.37910124088775987</v>
      </c>
    </row>
    <row r="32" spans="1:16" x14ac:dyDescent="0.2">
      <c r="A32" s="7" t="s">
        <v>16</v>
      </c>
    </row>
    <row r="33" spans="1:16" x14ac:dyDescent="0.2"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</row>
    <row r="34" spans="1:16" x14ac:dyDescent="0.2">
      <c r="A34" s="7" t="s">
        <v>17</v>
      </c>
    </row>
    <row r="35" spans="1:16" x14ac:dyDescent="0.2">
      <c r="A35" s="18" t="s">
        <v>18</v>
      </c>
      <c r="B35" s="2">
        <v>7000</v>
      </c>
      <c r="C35" s="17">
        <v>8155</v>
      </c>
      <c r="D35" s="2">
        <v>7904.85</v>
      </c>
      <c r="E35" s="2">
        <v>9266.4395000000004</v>
      </c>
      <c r="F35" s="2">
        <v>10959.912765000001</v>
      </c>
      <c r="G35" s="2">
        <v>11409.312283550003</v>
      </c>
      <c r="H35" s="2">
        <v>12243.350449648504</v>
      </c>
      <c r="I35" s="2">
        <v>16296.335082686397</v>
      </c>
      <c r="J35" s="2">
        <v>15609.27952111507</v>
      </c>
      <c r="K35" s="2">
        <v>17731.234170565778</v>
      </c>
      <c r="L35" s="2">
        <v>17956</v>
      </c>
      <c r="M35" s="2">
        <v>16895</v>
      </c>
      <c r="N35" s="2">
        <v>17511</v>
      </c>
      <c r="O35" s="2">
        <v>15609.27952111507</v>
      </c>
      <c r="P35" s="2">
        <v>17731.234170565778</v>
      </c>
    </row>
    <row r="36" spans="1:16" x14ac:dyDescent="0.2">
      <c r="A36" s="18" t="s">
        <v>19</v>
      </c>
      <c r="B36" s="2">
        <v>3000</v>
      </c>
      <c r="C36" s="17">
        <v>2853</v>
      </c>
      <c r="D36" s="2">
        <v>3014.91</v>
      </c>
      <c r="E36" s="2">
        <v>3186.2637000000004</v>
      </c>
      <c r="F36" s="2">
        <v>3367.6276590000007</v>
      </c>
      <c r="G36" s="2">
        <v>3559.6033701300003</v>
      </c>
      <c r="H36" s="2">
        <v>3762.8294697891006</v>
      </c>
      <c r="I36" s="2">
        <v>3977.9840896118376</v>
      </c>
      <c r="J36" s="2">
        <v>4205.7873606690409</v>
      </c>
      <c r="K36" s="2">
        <v>4447.0040799394683</v>
      </c>
      <c r="L36" s="2">
        <v>4200</v>
      </c>
      <c r="M36" s="2">
        <v>4356</v>
      </c>
      <c r="N36" s="2">
        <v>4233</v>
      </c>
      <c r="O36" s="2">
        <v>4205.7873606690409</v>
      </c>
      <c r="P36" s="2">
        <v>4447.0040799394683</v>
      </c>
    </row>
    <row r="37" spans="1:16" x14ac:dyDescent="0.2">
      <c r="A37" s="8" t="s">
        <v>20</v>
      </c>
      <c r="B37" s="12">
        <f>SUM(B35:B36)</f>
        <v>10000</v>
      </c>
      <c r="C37" s="12">
        <f>SUM(C35:C36)</f>
        <v>11008</v>
      </c>
      <c r="D37" s="12">
        <f t="shared" ref="D37:K37" si="15">SUM(D35:D36)</f>
        <v>10919.76</v>
      </c>
      <c r="E37" s="12">
        <f t="shared" si="15"/>
        <v>12452.7032</v>
      </c>
      <c r="F37" s="12">
        <f t="shared" si="15"/>
        <v>14327.540424000003</v>
      </c>
      <c r="G37" s="12">
        <f t="shared" si="15"/>
        <v>14968.915653680004</v>
      </c>
      <c r="H37" s="12">
        <f t="shared" si="15"/>
        <v>16006.179919437604</v>
      </c>
      <c r="I37" s="12">
        <f t="shared" si="15"/>
        <v>20274.319172298234</v>
      </c>
      <c r="J37" s="12">
        <f t="shared" si="15"/>
        <v>19815.066881784111</v>
      </c>
      <c r="K37" s="12">
        <f t="shared" si="15"/>
        <v>22178.238250505245</v>
      </c>
      <c r="L37" s="12">
        <f t="shared" ref="L37:P37" si="16">SUM(L35:L36)</f>
        <v>22156</v>
      </c>
      <c r="M37" s="12">
        <f t="shared" si="16"/>
        <v>21251</v>
      </c>
      <c r="N37" s="12">
        <f t="shared" si="16"/>
        <v>21744</v>
      </c>
      <c r="O37" s="12">
        <f t="shared" si="16"/>
        <v>19815.066881784111</v>
      </c>
      <c r="P37" s="12">
        <f t="shared" si="16"/>
        <v>22178.238250505245</v>
      </c>
    </row>
    <row r="39" spans="1:16" x14ac:dyDescent="0.2">
      <c r="A39" s="7" t="s">
        <v>21</v>
      </c>
    </row>
    <row r="40" spans="1:16" x14ac:dyDescent="0.2">
      <c r="A40" s="18" t="s">
        <v>22</v>
      </c>
      <c r="B40" s="2">
        <v>16000</v>
      </c>
      <c r="C40" s="2">
        <v>12232.5</v>
      </c>
      <c r="D40" s="2">
        <v>11857.275</v>
      </c>
      <c r="E40" s="2">
        <v>13899.659250000001</v>
      </c>
      <c r="F40" s="2">
        <v>16439.869147500001</v>
      </c>
      <c r="G40" s="2">
        <v>17113.968425325002</v>
      </c>
      <c r="H40" s="2">
        <v>18365.025674472752</v>
      </c>
      <c r="I40" s="2">
        <v>24444.502624029592</v>
      </c>
      <c r="J40" s="2">
        <v>23413.919281672603</v>
      </c>
      <c r="K40" s="2">
        <v>26596.851255848665</v>
      </c>
      <c r="L40" s="2">
        <f>+K40*1.05</f>
        <v>27926.693818641099</v>
      </c>
      <c r="M40" s="2">
        <f t="shared" ref="M40:N40" si="17">+L40*1.05</f>
        <v>29323.028509573156</v>
      </c>
      <c r="N40" s="2">
        <f t="shared" si="17"/>
        <v>30789.179935051816</v>
      </c>
      <c r="O40" s="2">
        <v>23413.919281672603</v>
      </c>
      <c r="P40" s="2">
        <v>26596.851255848665</v>
      </c>
    </row>
    <row r="41" spans="1:16" x14ac:dyDescent="0.2">
      <c r="A41" s="18" t="s">
        <v>23</v>
      </c>
      <c r="B41" s="2">
        <v>17000</v>
      </c>
      <c r="C41" s="2">
        <v>20387.5</v>
      </c>
      <c r="D41" s="2">
        <v>19762.125</v>
      </c>
      <c r="E41" s="2">
        <v>23166.098750000001</v>
      </c>
      <c r="F41" s="2">
        <v>27399.781912500002</v>
      </c>
      <c r="G41" s="2">
        <v>28523.280708875005</v>
      </c>
      <c r="H41" s="2">
        <v>30608.376124121256</v>
      </c>
      <c r="I41" s="2">
        <v>40740.837706715989</v>
      </c>
      <c r="J41" s="2">
        <v>39023.198802787672</v>
      </c>
      <c r="K41" s="2">
        <v>44328.085426414444</v>
      </c>
      <c r="L41" s="2">
        <f>+K41*1.07</f>
        <v>47431.051406263454</v>
      </c>
      <c r="M41" s="2">
        <f t="shared" ref="M41:N41" si="18">+L41*1.07</f>
        <v>50751.225004701897</v>
      </c>
      <c r="N41" s="2">
        <f t="shared" si="18"/>
        <v>54303.810755031031</v>
      </c>
      <c r="O41" s="2">
        <v>39023.198802787672</v>
      </c>
      <c r="P41" s="2">
        <v>44328.085426414444</v>
      </c>
    </row>
    <row r="42" spans="1:16" x14ac:dyDescent="0.2">
      <c r="A42" s="18" t="s">
        <v>24</v>
      </c>
      <c r="B42" s="2">
        <v>2500</v>
      </c>
      <c r="C42" s="2">
        <v>0</v>
      </c>
      <c r="D42" s="2">
        <v>3952.4250000000002</v>
      </c>
      <c r="E42" s="2">
        <v>4633.2197500000002</v>
      </c>
      <c r="F42" s="2">
        <v>5479.9563825000005</v>
      </c>
      <c r="G42" s="2">
        <v>0</v>
      </c>
      <c r="H42" s="2">
        <v>6121.6752248242519</v>
      </c>
      <c r="I42" s="2">
        <v>8148.1675413431985</v>
      </c>
      <c r="J42" s="2">
        <v>7804.6397605575348</v>
      </c>
      <c r="K42" s="2">
        <v>0</v>
      </c>
      <c r="L42" s="2">
        <v>0</v>
      </c>
      <c r="M42" s="2">
        <v>0</v>
      </c>
      <c r="N42" s="2">
        <v>0</v>
      </c>
      <c r="O42" s="2">
        <v>7804.6397605575348</v>
      </c>
      <c r="P42" s="2">
        <v>0</v>
      </c>
    </row>
    <row r="43" spans="1:16" x14ac:dyDescent="0.2">
      <c r="A43" s="8" t="s">
        <v>25</v>
      </c>
      <c r="B43" s="12">
        <f>SUM(B40:B42)</f>
        <v>35500</v>
      </c>
      <c r="C43" s="12">
        <f>SUM(C40:C42)</f>
        <v>32620</v>
      </c>
      <c r="D43" s="12">
        <f t="shared" ref="D43:K43" si="19">SUM(D40:D42)</f>
        <v>35571.825000000004</v>
      </c>
      <c r="E43" s="12">
        <f t="shared" si="19"/>
        <v>41698.977750000005</v>
      </c>
      <c r="F43" s="12">
        <f t="shared" si="19"/>
        <v>49319.607442500004</v>
      </c>
      <c r="G43" s="12">
        <f t="shared" si="19"/>
        <v>45637.249134200007</v>
      </c>
      <c r="H43" s="12">
        <f t="shared" si="19"/>
        <v>55095.077023418256</v>
      </c>
      <c r="I43" s="12">
        <f t="shared" si="19"/>
        <v>73333.507872088783</v>
      </c>
      <c r="J43" s="12">
        <f t="shared" si="19"/>
        <v>70241.757845017812</v>
      </c>
      <c r="K43" s="12">
        <f t="shared" si="19"/>
        <v>70924.936682263113</v>
      </c>
      <c r="L43" s="12">
        <f t="shared" ref="L43:P43" si="20">SUM(L40:L42)</f>
        <v>75357.74522490456</v>
      </c>
      <c r="M43" s="12">
        <f t="shared" si="20"/>
        <v>80074.253514275057</v>
      </c>
      <c r="N43" s="12">
        <f t="shared" si="20"/>
        <v>85092.99069008285</v>
      </c>
      <c r="O43" s="12">
        <f t="shared" si="20"/>
        <v>70241.757845017812</v>
      </c>
      <c r="P43" s="12">
        <f t="shared" si="20"/>
        <v>70924.936682263113</v>
      </c>
    </row>
    <row r="45" spans="1:16" x14ac:dyDescent="0.2">
      <c r="A45" s="24" t="s">
        <v>98</v>
      </c>
    </row>
    <row r="46" spans="1:16" x14ac:dyDescent="0.2">
      <c r="A46" s="18" t="s">
        <v>26</v>
      </c>
      <c r="B46" s="2">
        <v>56115</v>
      </c>
      <c r="C46" s="2">
        <v>56897</v>
      </c>
      <c r="D46" s="2">
        <v>57518.879999999997</v>
      </c>
      <c r="E46" s="2">
        <v>57518.879999999997</v>
      </c>
      <c r="F46" s="2">
        <v>64737.547500000001</v>
      </c>
      <c r="G46" s="2">
        <v>68249.759999999995</v>
      </c>
      <c r="H46" s="2">
        <v>72361.032918750003</v>
      </c>
      <c r="I46" s="2">
        <v>69243.839999999997</v>
      </c>
      <c r="J46" s="2">
        <v>69817.919999999998</v>
      </c>
      <c r="K46" s="2">
        <v>70512</v>
      </c>
      <c r="L46" s="2">
        <f>+K46*1.02</f>
        <v>71922.240000000005</v>
      </c>
      <c r="M46" s="2">
        <f t="shared" ref="M46:N46" si="21">+L46*1.02</f>
        <v>73360.684800000003</v>
      </c>
      <c r="N46" s="2">
        <f t="shared" si="21"/>
        <v>74827.898496000009</v>
      </c>
      <c r="O46" s="2">
        <v>69817.919999999998</v>
      </c>
      <c r="P46" s="2">
        <v>70512</v>
      </c>
    </row>
    <row r="47" spans="1:16" x14ac:dyDescent="0.2">
      <c r="A47" s="18" t="s">
        <v>27</v>
      </c>
      <c r="B47" s="2">
        <v>15901</v>
      </c>
      <c r="C47" s="2">
        <v>16807</v>
      </c>
      <c r="D47" s="2">
        <v>17974.649999999998</v>
      </c>
      <c r="E47" s="2">
        <v>17974.649999999998</v>
      </c>
      <c r="F47" s="2">
        <v>20230.483593749999</v>
      </c>
      <c r="G47" s="2">
        <v>21328.05</v>
      </c>
      <c r="H47" s="2">
        <v>22612.822787109373</v>
      </c>
      <c r="I47" s="2">
        <v>21638.7</v>
      </c>
      <c r="J47" s="2">
        <v>21818.1</v>
      </c>
      <c r="K47" s="2">
        <v>22035</v>
      </c>
      <c r="L47" s="2">
        <f>+K47*0.99</f>
        <v>21814.65</v>
      </c>
      <c r="M47" s="2">
        <f t="shared" ref="M47:N47" si="22">+L47*0.99</f>
        <v>21596.503500000003</v>
      </c>
      <c r="N47" s="2">
        <f t="shared" si="22"/>
        <v>21380.538465000001</v>
      </c>
      <c r="O47" s="2">
        <v>21818.1</v>
      </c>
      <c r="P47" s="2">
        <v>22035</v>
      </c>
    </row>
    <row r="48" spans="1:16" x14ac:dyDescent="0.2">
      <c r="A48" s="8" t="s">
        <v>28</v>
      </c>
      <c r="B48" s="12">
        <f t="shared" ref="B48:K48" si="23">SUM(B46:B47)</f>
        <v>72016</v>
      </c>
      <c r="C48" s="12">
        <f t="shared" si="23"/>
        <v>73704</v>
      </c>
      <c r="D48" s="12">
        <f t="shared" si="23"/>
        <v>75493.53</v>
      </c>
      <c r="E48" s="12">
        <f t="shared" si="23"/>
        <v>75493.53</v>
      </c>
      <c r="F48" s="12">
        <f t="shared" si="23"/>
        <v>84968.031093750003</v>
      </c>
      <c r="G48" s="12">
        <f t="shared" si="23"/>
        <v>89577.81</v>
      </c>
      <c r="H48" s="12">
        <f t="shared" si="23"/>
        <v>94973.855705859372</v>
      </c>
      <c r="I48" s="12">
        <f t="shared" si="23"/>
        <v>90882.54</v>
      </c>
      <c r="J48" s="12">
        <f t="shared" si="23"/>
        <v>91636.01999999999</v>
      </c>
      <c r="K48" s="12">
        <f t="shared" si="23"/>
        <v>92547</v>
      </c>
      <c r="L48" s="12">
        <f t="shared" ref="L48:N48" si="24">SUM(L46:L47)</f>
        <v>93736.890000000014</v>
      </c>
      <c r="M48" s="12">
        <f t="shared" si="24"/>
        <v>94957.188300000009</v>
      </c>
      <c r="N48" s="12">
        <f t="shared" si="24"/>
        <v>96208.436961000014</v>
      </c>
      <c r="O48" s="12">
        <f t="shared" ref="O48:P48" si="25">SUM(O46:O47)</f>
        <v>91636.01999999999</v>
      </c>
      <c r="P48" s="12">
        <f t="shared" si="25"/>
        <v>92547</v>
      </c>
    </row>
    <row r="49" spans="1:16" x14ac:dyDescent="0.2"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x14ac:dyDescent="0.2">
      <c r="A50" s="7" t="s">
        <v>29</v>
      </c>
    </row>
    <row r="51" spans="1:16" x14ac:dyDescent="0.2">
      <c r="A51" s="18" t="s">
        <v>88</v>
      </c>
      <c r="B51" s="2">
        <v>11000</v>
      </c>
      <c r="C51" s="2">
        <v>11000</v>
      </c>
      <c r="D51" s="2">
        <v>11000</v>
      </c>
      <c r="E51" s="2">
        <v>11000</v>
      </c>
      <c r="F51" s="2">
        <v>11000</v>
      </c>
      <c r="G51" s="2">
        <v>11000</v>
      </c>
      <c r="H51" s="2">
        <v>11000</v>
      </c>
      <c r="I51" s="2">
        <v>11000</v>
      </c>
      <c r="J51" s="2">
        <v>11000</v>
      </c>
      <c r="K51" s="2">
        <v>11000</v>
      </c>
      <c r="L51" s="2">
        <v>11000</v>
      </c>
      <c r="M51" s="2">
        <v>11000</v>
      </c>
      <c r="N51" s="2">
        <v>11000</v>
      </c>
      <c r="O51" s="2">
        <v>11000</v>
      </c>
      <c r="P51" s="2">
        <v>11000</v>
      </c>
    </row>
    <row r="52" spans="1:16" ht="16" x14ac:dyDescent="0.2">
      <c r="A52" s="23" t="s">
        <v>89</v>
      </c>
      <c r="B52" s="6">
        <v>1200</v>
      </c>
      <c r="C52" s="2">
        <v>1200</v>
      </c>
      <c r="D52" s="2">
        <v>1200</v>
      </c>
      <c r="E52" s="2">
        <v>1200</v>
      </c>
      <c r="F52" s="2">
        <v>1200</v>
      </c>
      <c r="G52" s="2">
        <v>1200</v>
      </c>
      <c r="H52" s="2">
        <v>1200</v>
      </c>
      <c r="I52" s="2">
        <v>1200</v>
      </c>
      <c r="J52" s="2">
        <v>1200</v>
      </c>
      <c r="K52" s="2">
        <v>1200</v>
      </c>
      <c r="L52" s="2">
        <v>1200</v>
      </c>
      <c r="M52" s="2">
        <v>1200</v>
      </c>
      <c r="N52" s="2">
        <v>1200</v>
      </c>
      <c r="O52" s="2">
        <v>1200</v>
      </c>
      <c r="P52" s="2">
        <v>1200</v>
      </c>
    </row>
    <row r="53" spans="1:16" x14ac:dyDescent="0.2">
      <c r="A53" s="8" t="s">
        <v>30</v>
      </c>
      <c r="B53" s="12">
        <f>SUM(B51:B52)</f>
        <v>12200</v>
      </c>
      <c r="C53" s="12">
        <f>SUM(C51:C52)</f>
        <v>12200</v>
      </c>
      <c r="D53" s="12">
        <f t="shared" ref="D53:K53" si="26">SUM(D51:D52)</f>
        <v>12200</v>
      </c>
      <c r="E53" s="12">
        <f t="shared" si="26"/>
        <v>12200</v>
      </c>
      <c r="F53" s="12">
        <f t="shared" si="26"/>
        <v>12200</v>
      </c>
      <c r="G53" s="12">
        <f t="shared" si="26"/>
        <v>12200</v>
      </c>
      <c r="H53" s="12">
        <f t="shared" si="26"/>
        <v>12200</v>
      </c>
      <c r="I53" s="12">
        <f t="shared" si="26"/>
        <v>12200</v>
      </c>
      <c r="J53" s="12">
        <f t="shared" si="26"/>
        <v>12200</v>
      </c>
      <c r="K53" s="12">
        <f t="shared" si="26"/>
        <v>12200</v>
      </c>
      <c r="L53" s="12">
        <f t="shared" ref="L53:P53" si="27">SUM(L51:L52)</f>
        <v>12200</v>
      </c>
      <c r="M53" s="12">
        <f t="shared" si="27"/>
        <v>12200</v>
      </c>
      <c r="N53" s="12">
        <f t="shared" si="27"/>
        <v>12200</v>
      </c>
      <c r="O53" s="12">
        <f t="shared" si="27"/>
        <v>12200</v>
      </c>
      <c r="P53" s="12">
        <f t="shared" si="27"/>
        <v>12200</v>
      </c>
    </row>
    <row r="55" spans="1:16" x14ac:dyDescent="0.2">
      <c r="A55" s="7" t="s">
        <v>31</v>
      </c>
    </row>
    <row r="56" spans="1:16" x14ac:dyDescent="0.2">
      <c r="A56" s="18" t="s">
        <v>90</v>
      </c>
      <c r="B56" s="3">
        <v>600</v>
      </c>
      <c r="C56" s="2">
        <v>600</v>
      </c>
      <c r="D56" s="2">
        <v>600</v>
      </c>
      <c r="E56" s="2">
        <v>600</v>
      </c>
      <c r="F56" s="2">
        <v>600</v>
      </c>
      <c r="G56" s="2">
        <v>600</v>
      </c>
      <c r="H56" s="2">
        <v>600</v>
      </c>
      <c r="I56" s="2">
        <v>600</v>
      </c>
      <c r="J56" s="2">
        <v>600</v>
      </c>
      <c r="K56" s="2">
        <v>600</v>
      </c>
      <c r="L56" s="2">
        <v>600</v>
      </c>
      <c r="M56" s="2">
        <v>600</v>
      </c>
      <c r="N56" s="2">
        <v>600</v>
      </c>
      <c r="O56" s="2">
        <v>600</v>
      </c>
      <c r="P56" s="2">
        <v>600</v>
      </c>
    </row>
    <row r="57" spans="1:16" x14ac:dyDescent="0.2">
      <c r="A57" s="18" t="s">
        <v>91</v>
      </c>
      <c r="B57" s="3">
        <v>5000</v>
      </c>
      <c r="C57" s="2">
        <v>5000</v>
      </c>
      <c r="D57" s="2">
        <v>5000</v>
      </c>
      <c r="E57" s="2">
        <v>5000</v>
      </c>
      <c r="F57" s="2">
        <v>5000</v>
      </c>
      <c r="G57" s="2">
        <v>5000</v>
      </c>
      <c r="H57" s="2">
        <v>5000</v>
      </c>
      <c r="I57" s="2">
        <v>5000</v>
      </c>
      <c r="J57" s="2">
        <v>5000</v>
      </c>
      <c r="K57" s="2">
        <v>5000</v>
      </c>
      <c r="L57" s="2">
        <v>5000</v>
      </c>
      <c r="M57" s="2">
        <v>5000</v>
      </c>
      <c r="N57" s="2">
        <v>5000</v>
      </c>
      <c r="O57" s="2">
        <v>5000</v>
      </c>
      <c r="P57" s="2">
        <v>5000</v>
      </c>
    </row>
    <row r="58" spans="1:16" x14ac:dyDescent="0.2">
      <c r="A58" s="18" t="s">
        <v>92</v>
      </c>
      <c r="B58" s="3">
        <v>5000</v>
      </c>
      <c r="C58" s="2">
        <v>5000</v>
      </c>
      <c r="D58" s="2">
        <v>5000</v>
      </c>
      <c r="E58" s="2">
        <v>5000</v>
      </c>
      <c r="F58" s="2">
        <v>5000</v>
      </c>
      <c r="G58" s="2">
        <v>5000</v>
      </c>
      <c r="H58" s="2">
        <v>5000</v>
      </c>
      <c r="I58" s="2">
        <v>5000</v>
      </c>
      <c r="J58" s="2">
        <v>5000</v>
      </c>
      <c r="K58" s="2">
        <v>5000</v>
      </c>
      <c r="L58" s="2">
        <v>5000</v>
      </c>
      <c r="M58" s="2">
        <v>5000</v>
      </c>
      <c r="N58" s="2">
        <v>5000</v>
      </c>
      <c r="O58" s="2">
        <v>5000</v>
      </c>
      <c r="P58" s="2">
        <v>5000</v>
      </c>
    </row>
    <row r="59" spans="1:16" x14ac:dyDescent="0.2">
      <c r="A59" s="8" t="s">
        <v>32</v>
      </c>
      <c r="B59" s="12">
        <f>SUM(B56:B58)</f>
        <v>10600</v>
      </c>
      <c r="C59" s="12">
        <f>SUM(C56:C58)</f>
        <v>10600</v>
      </c>
      <c r="D59" s="12">
        <f t="shared" ref="D59:K59" si="28">SUM(D56:D58)</f>
        <v>10600</v>
      </c>
      <c r="E59" s="12">
        <f t="shared" si="28"/>
        <v>10600</v>
      </c>
      <c r="F59" s="12">
        <f t="shared" si="28"/>
        <v>10600</v>
      </c>
      <c r="G59" s="12">
        <f t="shared" si="28"/>
        <v>10600</v>
      </c>
      <c r="H59" s="12">
        <f t="shared" si="28"/>
        <v>10600</v>
      </c>
      <c r="I59" s="12">
        <f t="shared" si="28"/>
        <v>10600</v>
      </c>
      <c r="J59" s="12">
        <f t="shared" si="28"/>
        <v>10600</v>
      </c>
      <c r="K59" s="12">
        <f t="shared" si="28"/>
        <v>10600</v>
      </c>
      <c r="L59" s="12">
        <f t="shared" ref="L59:P59" si="29">SUM(L56:L58)</f>
        <v>10600</v>
      </c>
      <c r="M59" s="12">
        <f t="shared" si="29"/>
        <v>10600</v>
      </c>
      <c r="N59" s="12">
        <f t="shared" si="29"/>
        <v>10600</v>
      </c>
      <c r="O59" s="12">
        <f t="shared" si="29"/>
        <v>10600</v>
      </c>
      <c r="P59" s="12">
        <f t="shared" si="29"/>
        <v>10600</v>
      </c>
    </row>
    <row r="61" spans="1:16" x14ac:dyDescent="0.2">
      <c r="A61" s="7" t="s">
        <v>93</v>
      </c>
    </row>
    <row r="62" spans="1:16" x14ac:dyDescent="0.2">
      <c r="A62" s="18" t="s">
        <v>33</v>
      </c>
      <c r="B62" s="2">
        <v>4500</v>
      </c>
      <c r="C62" s="2">
        <v>2726.85</v>
      </c>
      <c r="D62" s="2">
        <v>2863.1925000000001</v>
      </c>
      <c r="E62" s="2">
        <v>3006.3521250000003</v>
      </c>
      <c r="F62" s="2">
        <v>3156.66973125</v>
      </c>
      <c r="G62" s="2">
        <v>3314.5032178125007</v>
      </c>
      <c r="H62" s="2">
        <v>3480.2283787031256</v>
      </c>
      <c r="I62" s="2">
        <v>3654.2397976382822</v>
      </c>
      <c r="J62" s="2">
        <v>3836.9517875201964</v>
      </c>
      <c r="K62" s="2">
        <v>4028.7993768962056</v>
      </c>
      <c r="L62" s="2">
        <f>+K62*1.01</f>
        <v>4069.0873706651678</v>
      </c>
      <c r="M62" s="2">
        <f t="shared" ref="M62:N62" si="30">+L62*1.01</f>
        <v>4109.7782443718197</v>
      </c>
      <c r="N62" s="2">
        <f t="shared" si="30"/>
        <v>4150.8760268155384</v>
      </c>
      <c r="O62" s="2">
        <v>3836.9517875201964</v>
      </c>
      <c r="P62" s="2">
        <v>4028.7993768962056</v>
      </c>
    </row>
    <row r="63" spans="1:16" x14ac:dyDescent="0.2">
      <c r="A63" s="18" t="s">
        <v>94</v>
      </c>
      <c r="B63" s="2">
        <v>1500</v>
      </c>
      <c r="C63" s="2">
        <v>3500</v>
      </c>
      <c r="D63" s="2">
        <v>3500</v>
      </c>
      <c r="E63" s="2">
        <v>3500</v>
      </c>
      <c r="F63" s="2">
        <v>3500</v>
      </c>
      <c r="G63" s="2">
        <v>3500</v>
      </c>
      <c r="H63" s="2">
        <v>3500</v>
      </c>
      <c r="I63" s="2">
        <v>3500</v>
      </c>
      <c r="J63" s="2">
        <v>3500</v>
      </c>
      <c r="K63" s="2">
        <v>3500</v>
      </c>
      <c r="L63" s="2">
        <v>3500</v>
      </c>
      <c r="M63" s="2">
        <v>3500</v>
      </c>
      <c r="N63" s="2">
        <v>3500</v>
      </c>
      <c r="O63" s="2">
        <v>3500</v>
      </c>
      <c r="P63" s="2">
        <v>3500</v>
      </c>
    </row>
    <row r="64" spans="1:16" x14ac:dyDescent="0.2">
      <c r="A64" s="8" t="s">
        <v>95</v>
      </c>
      <c r="B64" s="12">
        <f>SUM(B62:B63)</f>
        <v>6000</v>
      </c>
      <c r="C64" s="12">
        <f t="shared" ref="C64:K64" si="31">SUM(C62:C63)</f>
        <v>6226.85</v>
      </c>
      <c r="D64" s="12">
        <f t="shared" si="31"/>
        <v>6363.1925000000001</v>
      </c>
      <c r="E64" s="12">
        <f t="shared" si="31"/>
        <v>6506.3521250000003</v>
      </c>
      <c r="F64" s="12">
        <f t="shared" si="31"/>
        <v>6656.66973125</v>
      </c>
      <c r="G64" s="12">
        <f t="shared" si="31"/>
        <v>6814.5032178125002</v>
      </c>
      <c r="H64" s="12">
        <f t="shared" si="31"/>
        <v>6980.2283787031256</v>
      </c>
      <c r="I64" s="12">
        <f t="shared" si="31"/>
        <v>7154.2397976382817</v>
      </c>
      <c r="J64" s="12">
        <f t="shared" si="31"/>
        <v>7336.9517875201964</v>
      </c>
      <c r="K64" s="12">
        <f t="shared" si="31"/>
        <v>7528.799376896206</v>
      </c>
      <c r="L64" s="12">
        <f t="shared" ref="L64:P64" si="32">SUM(L62:L63)</f>
        <v>7569.0873706651673</v>
      </c>
      <c r="M64" s="12">
        <f t="shared" si="32"/>
        <v>7609.7782443718197</v>
      </c>
      <c r="N64" s="12">
        <f t="shared" si="32"/>
        <v>7650.8760268155384</v>
      </c>
      <c r="O64" s="12">
        <f t="shared" si="32"/>
        <v>7336.9517875201964</v>
      </c>
      <c r="P64" s="12">
        <f t="shared" si="32"/>
        <v>7528.799376896206</v>
      </c>
    </row>
    <row r="66" spans="1:16" x14ac:dyDescent="0.2">
      <c r="A66" s="7" t="s">
        <v>34</v>
      </c>
    </row>
    <row r="67" spans="1:16" x14ac:dyDescent="0.2">
      <c r="A67" s="18" t="s">
        <v>35</v>
      </c>
      <c r="B67">
        <v>560</v>
      </c>
      <c r="C67">
        <v>560</v>
      </c>
      <c r="D67">
        <v>560</v>
      </c>
      <c r="E67">
        <v>560</v>
      </c>
      <c r="F67">
        <v>560</v>
      </c>
      <c r="G67">
        <v>560</v>
      </c>
      <c r="H67">
        <v>560</v>
      </c>
      <c r="I67">
        <v>560</v>
      </c>
      <c r="J67">
        <v>560</v>
      </c>
      <c r="K67">
        <v>560</v>
      </c>
      <c r="L67">
        <v>560</v>
      </c>
      <c r="M67">
        <v>560</v>
      </c>
      <c r="N67">
        <v>560</v>
      </c>
      <c r="O67">
        <v>560</v>
      </c>
      <c r="P67">
        <v>560</v>
      </c>
    </row>
    <row r="68" spans="1:16" x14ac:dyDescent="0.2">
      <c r="A68" s="8" t="s">
        <v>36</v>
      </c>
      <c r="B68" s="14">
        <f>SUM(B67)</f>
        <v>560</v>
      </c>
      <c r="C68" s="14">
        <f>SUM(C67)</f>
        <v>560</v>
      </c>
      <c r="D68" s="14">
        <f t="shared" ref="D68:K68" si="33">SUM(D67)</f>
        <v>560</v>
      </c>
      <c r="E68" s="14">
        <f t="shared" si="33"/>
        <v>560</v>
      </c>
      <c r="F68" s="14">
        <f t="shared" si="33"/>
        <v>560</v>
      </c>
      <c r="G68" s="14">
        <f t="shared" si="33"/>
        <v>560</v>
      </c>
      <c r="H68" s="14">
        <f t="shared" si="33"/>
        <v>560</v>
      </c>
      <c r="I68" s="14">
        <f t="shared" si="33"/>
        <v>560</v>
      </c>
      <c r="J68" s="14">
        <f t="shared" si="33"/>
        <v>560</v>
      </c>
      <c r="K68" s="14">
        <f t="shared" si="33"/>
        <v>560</v>
      </c>
      <c r="L68" s="14">
        <f t="shared" ref="L68:P68" si="34">SUM(L67)</f>
        <v>560</v>
      </c>
      <c r="M68" s="14">
        <f t="shared" si="34"/>
        <v>560</v>
      </c>
      <c r="N68" s="14">
        <f t="shared" si="34"/>
        <v>560</v>
      </c>
      <c r="O68" s="14">
        <f t="shared" si="34"/>
        <v>560</v>
      </c>
      <c r="P68" s="14">
        <f t="shared" si="34"/>
        <v>560</v>
      </c>
    </row>
    <row r="70" spans="1:16" x14ac:dyDescent="0.2">
      <c r="A70" s="7" t="s">
        <v>37</v>
      </c>
    </row>
    <row r="71" spans="1:16" x14ac:dyDescent="0.2">
      <c r="A71" s="18" t="s">
        <v>38</v>
      </c>
      <c r="B71" s="2">
        <v>14900</v>
      </c>
      <c r="C71" s="2">
        <v>14998</v>
      </c>
      <c r="D71" s="2">
        <f>-(+'balance sheet'!C8-'balance sheet'!B8)</f>
        <v>15630</v>
      </c>
      <c r="E71" s="2">
        <f>-(+'balance sheet'!D8-'balance sheet'!C8)</f>
        <v>15661.5</v>
      </c>
      <c r="F71" s="2">
        <f>-(+'balance sheet'!E8-'balance sheet'!D8)</f>
        <v>15000</v>
      </c>
      <c r="G71" s="2">
        <f>-(+'balance sheet'!F8-'balance sheet'!E8)</f>
        <v>15000</v>
      </c>
      <c r="H71" s="2">
        <f>-(+'balance sheet'!G8-'balance sheet'!F8)</f>
        <v>15000</v>
      </c>
      <c r="I71" s="2">
        <f>-(+'balance sheet'!H8-'balance sheet'!G8)</f>
        <v>15694.575000000012</v>
      </c>
      <c r="J71" s="2">
        <f>-(+'balance sheet'!I8-'balance sheet'!H8)</f>
        <v>16005</v>
      </c>
      <c r="K71" s="2">
        <f>-(+'balance sheet'!J8-'balance sheet'!I8)</f>
        <v>16054.375</v>
      </c>
      <c r="L71" s="2">
        <f>-(+'balance sheet'!K8-'balance sheet'!J8)</f>
        <v>16139</v>
      </c>
      <c r="M71" s="2">
        <f>-(+'balance sheet'!L8-'balance sheet'!K8)</f>
        <v>20849</v>
      </c>
      <c r="N71" s="2">
        <f>-(+'balance sheet'!M8-'balance sheet'!L8)</f>
        <v>20849</v>
      </c>
      <c r="O71" s="2">
        <f>-(+'balance sheet'!N8-'balance sheet'!M8)</f>
        <v>20849</v>
      </c>
      <c r="P71" s="2">
        <f>-(+'balance sheet'!O8-'balance sheet'!N8)</f>
        <v>20849</v>
      </c>
    </row>
    <row r="72" spans="1:16" x14ac:dyDescent="0.2">
      <c r="A72" s="8" t="s">
        <v>39</v>
      </c>
      <c r="B72" s="12">
        <f t="shared" ref="B72:K72" si="35">SUM(B71:B71)</f>
        <v>14900</v>
      </c>
      <c r="C72" s="12">
        <f t="shared" si="35"/>
        <v>14998</v>
      </c>
      <c r="D72" s="12">
        <f t="shared" si="35"/>
        <v>15630</v>
      </c>
      <c r="E72" s="12">
        <f t="shared" si="35"/>
        <v>15661.5</v>
      </c>
      <c r="F72" s="12">
        <f t="shared" si="35"/>
        <v>15000</v>
      </c>
      <c r="G72" s="12">
        <f t="shared" si="35"/>
        <v>15000</v>
      </c>
      <c r="H72" s="12">
        <f t="shared" si="35"/>
        <v>15000</v>
      </c>
      <c r="I72" s="12">
        <f t="shared" si="35"/>
        <v>15694.575000000012</v>
      </c>
      <c r="J72" s="12">
        <f t="shared" si="35"/>
        <v>16005</v>
      </c>
      <c r="K72" s="12">
        <f t="shared" si="35"/>
        <v>16054.375</v>
      </c>
      <c r="L72" s="12">
        <f t="shared" ref="L72" si="36">SUM(L71:L71)</f>
        <v>16139</v>
      </c>
      <c r="M72" s="12">
        <f t="shared" ref="M72" si="37">SUM(M71:M71)</f>
        <v>20849</v>
      </c>
      <c r="N72" s="12">
        <f t="shared" ref="N72" si="38">SUM(N71:N71)</f>
        <v>20849</v>
      </c>
      <c r="O72" s="12">
        <f t="shared" ref="O72:P72" si="39">SUM(O71:O71)</f>
        <v>20849</v>
      </c>
      <c r="P72" s="12">
        <f t="shared" si="39"/>
        <v>20849</v>
      </c>
    </row>
    <row r="74" spans="1:16" ht="16" thickBot="1" x14ac:dyDescent="0.25">
      <c r="A74" s="10" t="s">
        <v>40</v>
      </c>
      <c r="B74" s="11">
        <f t="shared" ref="B74:K74" si="40">B37+B43+B48+B53+B59+B64+B68+B72</f>
        <v>161776</v>
      </c>
      <c r="C74" s="11">
        <f t="shared" si="40"/>
        <v>161916.85</v>
      </c>
      <c r="D74" s="11">
        <f t="shared" si="40"/>
        <v>167338.3075</v>
      </c>
      <c r="E74" s="11">
        <f t="shared" si="40"/>
        <v>175173.06307500001</v>
      </c>
      <c r="F74" s="11">
        <f t="shared" si="40"/>
        <v>193631.8486915</v>
      </c>
      <c r="G74" s="11">
        <f t="shared" si="40"/>
        <v>195358.47800569254</v>
      </c>
      <c r="H74" s="11">
        <f t="shared" si="40"/>
        <v>211415.34102741836</v>
      </c>
      <c r="I74" s="11">
        <f t="shared" si="40"/>
        <v>230699.18184202531</v>
      </c>
      <c r="J74" s="11">
        <f t="shared" si="40"/>
        <v>228394.79651432211</v>
      </c>
      <c r="K74" s="11">
        <f t="shared" si="40"/>
        <v>232593.34930966457</v>
      </c>
      <c r="L74" s="11">
        <f t="shared" ref="L74:P74" si="41">L37+L43+L48+L53+L59+L64+L68+L72</f>
        <v>238318.72259556974</v>
      </c>
      <c r="M74" s="11">
        <f t="shared" si="41"/>
        <v>248101.22005864687</v>
      </c>
      <c r="N74" s="11">
        <f t="shared" si="41"/>
        <v>254905.3036778984</v>
      </c>
      <c r="O74" s="11">
        <f t="shared" si="41"/>
        <v>233238.79651432211</v>
      </c>
      <c r="P74" s="11">
        <f t="shared" si="41"/>
        <v>237387.97430966457</v>
      </c>
    </row>
    <row r="75" spans="1:16" ht="16" thickTop="1" x14ac:dyDescent="0.2"/>
    <row r="76" spans="1:16" x14ac:dyDescent="0.2">
      <c r="A76" s="16" t="s">
        <v>41</v>
      </c>
      <c r="B76" s="9">
        <f t="shared" ref="B76:K76" si="42">B28-B74</f>
        <v>14664.796536796493</v>
      </c>
      <c r="C76" s="22">
        <f t="shared" si="42"/>
        <v>26472.055627705558</v>
      </c>
      <c r="D76" s="22">
        <f t="shared" si="42"/>
        <v>26053.234772727301</v>
      </c>
      <c r="E76" s="22">
        <f t="shared" si="42"/>
        <v>37488.786420454504</v>
      </c>
      <c r="F76" s="22">
        <f t="shared" si="42"/>
        <v>35525.266614659078</v>
      </c>
      <c r="G76" s="22">
        <f t="shared" si="42"/>
        <v>43101.40229192609</v>
      </c>
      <c r="H76" s="22">
        <f t="shared" si="42"/>
        <v>38935.236910046282</v>
      </c>
      <c r="I76" s="22">
        <f t="shared" si="42"/>
        <v>63003.874955415784</v>
      </c>
      <c r="J76" s="22">
        <f t="shared" si="42"/>
        <v>67087.780177377455</v>
      </c>
      <c r="K76" s="22">
        <f t="shared" si="42"/>
        <v>83550.169402624131</v>
      </c>
      <c r="L76" s="22">
        <f t="shared" ref="L76:P76" si="43">L28-L74</f>
        <v>53465.676879624312</v>
      </c>
      <c r="M76" s="22">
        <f t="shared" si="43"/>
        <v>31864.246085018618</v>
      </c>
      <c r="N76" s="22">
        <f t="shared" si="43"/>
        <v>9026.3563221016375</v>
      </c>
      <c r="O76" s="22">
        <f t="shared" si="43"/>
        <v>62243.780177377455</v>
      </c>
      <c r="P76" s="22">
        <f t="shared" si="43"/>
        <v>78755.544402624131</v>
      </c>
    </row>
    <row r="77" spans="1:16" x14ac:dyDescent="0.2">
      <c r="B77" s="5">
        <f>+B76/B8</f>
        <v>3.1201694759141474E-2</v>
      </c>
      <c r="C77" s="5">
        <f>+C76/C8</f>
        <v>5.2995835190557103E-2</v>
      </c>
      <c r="D77" s="5">
        <f t="shared" ref="D77:K77" si="44">+D76/D8</f>
        <v>4.903806005188787E-2</v>
      </c>
      <c r="E77" s="5">
        <f t="shared" si="44"/>
        <v>6.6281095433465706E-2</v>
      </c>
      <c r="F77" s="5">
        <f t="shared" si="44"/>
        <v>5.8939424521037322E-2</v>
      </c>
      <c r="G77" s="5">
        <f t="shared" si="44"/>
        <v>6.7028352369065833E-2</v>
      </c>
      <c r="H77" s="5">
        <f t="shared" si="44"/>
        <v>5.668611523155935E-2</v>
      </c>
      <c r="I77" s="5">
        <f t="shared" si="44"/>
        <v>8.5759156790590485E-2</v>
      </c>
      <c r="J77" s="5">
        <f t="shared" si="44"/>
        <v>8.5249360209101704E-2</v>
      </c>
      <c r="K77" s="5">
        <f t="shared" si="44"/>
        <v>0.10018858848010338</v>
      </c>
      <c r="L77" s="5">
        <f t="shared" ref="L77:P77" si="45">+L76/L8</f>
        <v>6.7063633293476116E-2</v>
      </c>
      <c r="M77" s="5">
        <f t="shared" si="45"/>
        <v>4.06591961436569E-2</v>
      </c>
      <c r="N77" s="5">
        <f t="shared" si="45"/>
        <v>1.1853483181878829E-2</v>
      </c>
      <c r="O77" s="5">
        <f t="shared" si="45"/>
        <v>7.9094023130410612E-2</v>
      </c>
      <c r="P77" s="5">
        <f t="shared" si="45"/>
        <v>9.4439148180029867E-2</v>
      </c>
    </row>
    <row r="78" spans="1:16" x14ac:dyDescent="0.2">
      <c r="A78" s="18" t="s">
        <v>42</v>
      </c>
      <c r="B78" s="21">
        <v>2100</v>
      </c>
      <c r="C78" s="21">
        <v>2100</v>
      </c>
      <c r="D78" s="21">
        <v>2100</v>
      </c>
      <c r="E78" s="21">
        <v>2100</v>
      </c>
      <c r="F78" s="21">
        <v>2100</v>
      </c>
      <c r="G78" s="21">
        <v>2100</v>
      </c>
      <c r="H78" s="21">
        <v>2100</v>
      </c>
      <c r="I78" s="21">
        <v>2100</v>
      </c>
      <c r="J78" s="21">
        <v>2100</v>
      </c>
      <c r="K78" s="21">
        <f>2100*4/5</f>
        <v>1680</v>
      </c>
      <c r="L78" s="21">
        <f t="shared" ref="L78:N78" si="46">2100*4/5</f>
        <v>1680</v>
      </c>
      <c r="M78" s="21">
        <f t="shared" si="46"/>
        <v>1680</v>
      </c>
      <c r="N78" s="21">
        <f t="shared" si="46"/>
        <v>1680</v>
      </c>
      <c r="O78" s="21">
        <v>2100</v>
      </c>
      <c r="P78" s="21">
        <f>2100*4/5</f>
        <v>1680</v>
      </c>
    </row>
    <row r="79" spans="1:16" x14ac:dyDescent="0.2"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</row>
    <row r="80" spans="1:16" x14ac:dyDescent="0.2">
      <c r="A80" s="16" t="s">
        <v>43</v>
      </c>
      <c r="B80" s="9">
        <f>B76-B78</f>
        <v>12564.796536796493</v>
      </c>
      <c r="C80" s="22">
        <f t="shared" ref="C80:K80" si="47">C76-C78</f>
        <v>24372.055627705558</v>
      </c>
      <c r="D80" s="22">
        <f t="shared" si="47"/>
        <v>23953.234772727301</v>
      </c>
      <c r="E80" s="22">
        <f t="shared" si="47"/>
        <v>35388.786420454504</v>
      </c>
      <c r="F80" s="22">
        <f t="shared" si="47"/>
        <v>33425.266614659078</v>
      </c>
      <c r="G80" s="22">
        <f t="shared" si="47"/>
        <v>41001.40229192609</v>
      </c>
      <c r="H80" s="22">
        <f t="shared" si="47"/>
        <v>36835.236910046282</v>
      </c>
      <c r="I80" s="22">
        <f t="shared" si="47"/>
        <v>60903.874955415784</v>
      </c>
      <c r="J80" s="22">
        <f t="shared" si="47"/>
        <v>64987.780177377455</v>
      </c>
      <c r="K80" s="22">
        <f t="shared" si="47"/>
        <v>81870.169402624131</v>
      </c>
      <c r="L80" s="22">
        <f t="shared" ref="L80:P80" si="48">L76-L78</f>
        <v>51785.676879624312</v>
      </c>
      <c r="M80" s="22">
        <f t="shared" si="48"/>
        <v>30184.246085018618</v>
      </c>
      <c r="N80" s="22">
        <f t="shared" si="48"/>
        <v>7346.3563221016375</v>
      </c>
      <c r="O80" s="22">
        <f t="shared" si="48"/>
        <v>60143.780177377455</v>
      </c>
      <c r="P80" s="22">
        <f t="shared" si="48"/>
        <v>77075.544402624131</v>
      </c>
    </row>
    <row r="81" spans="1:16" x14ac:dyDescent="0.2"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</row>
    <row r="82" spans="1:16" x14ac:dyDescent="0.2">
      <c r="A82" s="18" t="s">
        <v>44</v>
      </c>
      <c r="B82" s="17">
        <f>-B80*25%</f>
        <v>-3141.1991341991234</v>
      </c>
      <c r="C82" s="17">
        <f>-C80*25%</f>
        <v>-6093.0139069263896</v>
      </c>
      <c r="D82" s="17">
        <f t="shared" ref="D82:K82" si="49">-D80*25%</f>
        <v>-5988.3086931818252</v>
      </c>
      <c r="E82" s="17">
        <f t="shared" si="49"/>
        <v>-8847.196605113626</v>
      </c>
      <c r="F82" s="17">
        <f t="shared" si="49"/>
        <v>-8356.3166536647695</v>
      </c>
      <c r="G82" s="17">
        <f t="shared" si="49"/>
        <v>-10250.350572981522</v>
      </c>
      <c r="H82" s="17">
        <f t="shared" si="49"/>
        <v>-9208.8092275115705</v>
      </c>
      <c r="I82" s="17">
        <f t="shared" si="49"/>
        <v>-15225.968738853946</v>
      </c>
      <c r="J82" s="17">
        <f t="shared" si="49"/>
        <v>-16246.945044344364</v>
      </c>
      <c r="K82" s="17">
        <f t="shared" si="49"/>
        <v>-20467.542350656033</v>
      </c>
      <c r="L82" s="17">
        <f t="shared" ref="L82:P82" si="50">-L80*25%</f>
        <v>-12946.419219906078</v>
      </c>
      <c r="M82" s="17">
        <f t="shared" si="50"/>
        <v>-7546.0615212546545</v>
      </c>
      <c r="N82" s="17">
        <f t="shared" si="50"/>
        <v>-1836.5890805254094</v>
      </c>
      <c r="O82" s="17">
        <f t="shared" si="50"/>
        <v>-15035.945044344364</v>
      </c>
      <c r="P82" s="17">
        <f t="shared" si="50"/>
        <v>-19268.886100656033</v>
      </c>
    </row>
    <row r="83" spans="1:16" x14ac:dyDescent="0.2"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</row>
    <row r="84" spans="1:16" x14ac:dyDescent="0.2">
      <c r="A84" s="16" t="s">
        <v>45</v>
      </c>
      <c r="B84" s="9">
        <f>B80-B82</f>
        <v>15705.995670995617</v>
      </c>
      <c r="C84" s="22">
        <f>C80+C82</f>
        <v>18279.041720779169</v>
      </c>
      <c r="D84" s="22">
        <f t="shared" ref="D84:P84" si="51">D80+D82</f>
        <v>17964.926079545476</v>
      </c>
      <c r="E84" s="22">
        <f t="shared" si="51"/>
        <v>26541.589815340878</v>
      </c>
      <c r="F84" s="22">
        <f t="shared" si="51"/>
        <v>25068.949960994309</v>
      </c>
      <c r="G84" s="22">
        <f t="shared" si="51"/>
        <v>30751.051718944567</v>
      </c>
      <c r="H84" s="22">
        <f t="shared" si="51"/>
        <v>27626.427682534711</v>
      </c>
      <c r="I84" s="22">
        <f t="shared" si="51"/>
        <v>45677.906216561838</v>
      </c>
      <c r="J84" s="22">
        <f t="shared" si="51"/>
        <v>48740.835133033092</v>
      </c>
      <c r="K84" s="22">
        <f t="shared" si="51"/>
        <v>61402.627051968098</v>
      </c>
      <c r="L84" s="22">
        <f t="shared" si="51"/>
        <v>38839.257659718234</v>
      </c>
      <c r="M84" s="22">
        <f t="shared" si="51"/>
        <v>22638.184563763964</v>
      </c>
      <c r="N84" s="22">
        <f t="shared" si="51"/>
        <v>5509.7672415762281</v>
      </c>
      <c r="O84" s="22">
        <f t="shared" si="51"/>
        <v>45107.835133033092</v>
      </c>
      <c r="P84" s="22">
        <f t="shared" si="51"/>
        <v>57806.658301968098</v>
      </c>
    </row>
    <row r="85" spans="1:16" x14ac:dyDescent="0.2"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9" spans="1:16" x14ac:dyDescent="0.2">
      <c r="A89" t="s">
        <v>11</v>
      </c>
      <c r="B89" s="4">
        <f t="shared" ref="B89:K89" si="52">+SUM(B64,B59,B53,B43,B26,-B21)</f>
        <v>324572.72727272729</v>
      </c>
      <c r="C89" s="4">
        <f>+SUM(C64,C59,C53,C43,C26,-C21)</f>
        <v>339483.4681818182</v>
      </c>
      <c r="D89" s="4">
        <f t="shared" si="52"/>
        <v>358292.00522727275</v>
      </c>
      <c r="E89" s="4">
        <f t="shared" si="52"/>
        <v>384609.01037954551</v>
      </c>
      <c r="F89" s="4">
        <f t="shared" si="52"/>
        <v>414459.30233634089</v>
      </c>
      <c r="G89" s="4">
        <f t="shared" si="52"/>
        <v>432215.08205439389</v>
      </c>
      <c r="H89" s="4">
        <f t="shared" si="52"/>
        <v>465603.11125645356</v>
      </c>
      <c r="I89" s="4">
        <f t="shared" si="52"/>
        <v>515869.84687228588</v>
      </c>
      <c r="J89" s="4">
        <f t="shared" si="52"/>
        <v>538037.49214083853</v>
      </c>
      <c r="K89" s="4">
        <f t="shared" si="52"/>
        <v>564686.21734687057</v>
      </c>
      <c r="L89" s="4">
        <f t="shared" ref="L89:P89" si="53">+SUM(L64,L59,L53,L43,L26,-L21)</f>
        <v>555957.43312037573</v>
      </c>
      <c r="M89" s="4">
        <f t="shared" si="53"/>
        <v>557712.56561498134</v>
      </c>
      <c r="N89" s="4">
        <f t="shared" si="53"/>
        <v>555885.20671689836</v>
      </c>
      <c r="O89" s="4">
        <f t="shared" si="53"/>
        <v>538037.49214083853</v>
      </c>
      <c r="P89" s="4">
        <f t="shared" si="53"/>
        <v>564686.21734687057</v>
      </c>
    </row>
    <row r="92" spans="1:16" x14ac:dyDescent="0.2">
      <c r="D92" s="32"/>
    </row>
  </sheetData>
  <mergeCells count="1">
    <mergeCell ref="C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4B71D-935D-47FF-A9DD-0A3115D2A643}">
  <dimension ref="A1:P50"/>
  <sheetViews>
    <sheetView showGridLines="0" workbookViewId="0">
      <pane xSplit="1" ySplit="2" topLeftCell="B17" activePane="bottomRight" state="frozen"/>
      <selection pane="topRight" activeCell="B1" sqref="B1"/>
      <selection pane="bottomLeft" activeCell="A3" sqref="A3"/>
      <selection pane="bottomRight" activeCell="B14" sqref="B14:O14"/>
    </sheetView>
  </sheetViews>
  <sheetFormatPr baseColWidth="10" defaultColWidth="8.83203125" defaultRowHeight="15" x14ac:dyDescent="0.2"/>
  <cols>
    <col min="1" max="1" width="40.6640625" bestFit="1" customWidth="1"/>
    <col min="2" max="2" width="9.83203125" bestFit="1" customWidth="1"/>
    <col min="3" max="10" width="9.5" customWidth="1"/>
    <col min="11" max="12" width="9.33203125" bestFit="1" customWidth="1"/>
    <col min="13" max="13" width="10.1640625" bestFit="1" customWidth="1"/>
    <col min="14" max="14" width="10.6640625" customWidth="1"/>
    <col min="15" max="15" width="10" bestFit="1" customWidth="1"/>
  </cols>
  <sheetData>
    <row r="1" spans="1:16" x14ac:dyDescent="0.2">
      <c r="B1" s="41" t="s">
        <v>0</v>
      </c>
      <c r="C1" s="41"/>
      <c r="D1" s="41"/>
      <c r="E1" s="41"/>
      <c r="F1" s="41"/>
      <c r="G1" s="41"/>
      <c r="H1" s="41"/>
      <c r="I1" s="41"/>
      <c r="J1" s="41"/>
      <c r="N1" s="7" t="s">
        <v>108</v>
      </c>
    </row>
    <row r="2" spans="1:16" x14ac:dyDescent="0.2">
      <c r="B2" s="1">
        <v>45505</v>
      </c>
      <c r="C2" s="1">
        <v>45536</v>
      </c>
      <c r="D2" s="1">
        <v>45566</v>
      </c>
      <c r="E2" s="1">
        <v>45597</v>
      </c>
      <c r="F2" s="1">
        <v>45627</v>
      </c>
      <c r="G2" s="1">
        <v>45658</v>
      </c>
      <c r="H2" s="1">
        <v>45689</v>
      </c>
      <c r="I2" s="1">
        <v>45717</v>
      </c>
      <c r="J2" s="1">
        <v>45748</v>
      </c>
      <c r="K2" s="1">
        <v>45778</v>
      </c>
      <c r="L2" s="1">
        <v>45809</v>
      </c>
      <c r="M2" s="1">
        <v>45839</v>
      </c>
      <c r="N2" s="1">
        <v>45870</v>
      </c>
      <c r="O2" s="1">
        <v>45901</v>
      </c>
    </row>
    <row r="4" spans="1:16" x14ac:dyDescent="0.2">
      <c r="A4" s="7" t="s">
        <v>47</v>
      </c>
    </row>
    <row r="5" spans="1:16" x14ac:dyDescent="0.2">
      <c r="C5" s="17"/>
      <c r="D5" s="17"/>
      <c r="E5" s="17"/>
      <c r="F5" s="17"/>
      <c r="G5" s="17"/>
      <c r="H5" s="17"/>
      <c r="I5" s="17"/>
      <c r="J5" s="17"/>
    </row>
    <row r="6" spans="1:16" x14ac:dyDescent="0.2">
      <c r="A6" s="7" t="s">
        <v>48</v>
      </c>
      <c r="B6" s="2"/>
      <c r="C6" s="27"/>
      <c r="D6" s="2"/>
      <c r="E6" s="2"/>
      <c r="F6" s="2"/>
      <c r="G6" s="2"/>
      <c r="H6" s="2"/>
      <c r="I6" s="2"/>
      <c r="J6" s="2"/>
    </row>
    <row r="7" spans="1:16" x14ac:dyDescent="0.2">
      <c r="A7" s="19" t="s">
        <v>101</v>
      </c>
      <c r="B7" s="21">
        <v>1260000</v>
      </c>
      <c r="C7" s="21">
        <v>1323000</v>
      </c>
      <c r="D7" s="21">
        <v>1389150</v>
      </c>
      <c r="E7" s="21">
        <v>1389150</v>
      </c>
      <c r="F7" s="21">
        <v>1389150</v>
      </c>
      <c r="G7" s="21">
        <v>1389150</v>
      </c>
      <c r="H7" s="21">
        <v>1458607.5</v>
      </c>
      <c r="I7" s="21">
        <v>1458607.5</v>
      </c>
      <c r="J7" s="21">
        <v>1555545</v>
      </c>
      <c r="K7" s="21">
        <v>1555545</v>
      </c>
      <c r="L7" s="21">
        <v>1566891</v>
      </c>
      <c r="M7" s="21">
        <f>+L7</f>
        <v>1566891</v>
      </c>
      <c r="N7" s="21">
        <f t="shared" ref="N7:O7" si="0">+M7</f>
        <v>1566891</v>
      </c>
      <c r="O7" s="21">
        <f t="shared" si="0"/>
        <v>1566891</v>
      </c>
    </row>
    <row r="8" spans="1:16" x14ac:dyDescent="0.2">
      <c r="A8" s="18" t="s">
        <v>50</v>
      </c>
      <c r="B8" s="21">
        <v>-101187.5</v>
      </c>
      <c r="C8" s="21">
        <v>-116817.5</v>
      </c>
      <c r="D8" s="21">
        <v>-132479</v>
      </c>
      <c r="E8" s="21">
        <v>-147479</v>
      </c>
      <c r="F8" s="21">
        <v>-162479</v>
      </c>
      <c r="G8" s="21">
        <v>-177479</v>
      </c>
      <c r="H8" s="21">
        <v>-193173.57500000001</v>
      </c>
      <c r="I8" s="21">
        <v>-209178.57500000001</v>
      </c>
      <c r="J8" s="21">
        <f>-225232.95</f>
        <v>-225232.95</v>
      </c>
      <c r="K8" s="21">
        <f>-225232.95-16139</f>
        <v>-241371.95</v>
      </c>
      <c r="L8" s="21">
        <f>+K8-20849</f>
        <v>-262220.95</v>
      </c>
      <c r="M8" s="21">
        <f>+L8-20849</f>
        <v>-283069.95</v>
      </c>
      <c r="N8" s="21">
        <f t="shared" ref="N8:O8" si="1">+M8-20849</f>
        <v>-303918.95</v>
      </c>
      <c r="O8" s="21">
        <f t="shared" si="1"/>
        <v>-324767.95</v>
      </c>
    </row>
    <row r="9" spans="1:16" x14ac:dyDescent="0.2">
      <c r="A9" s="8" t="s">
        <v>49</v>
      </c>
      <c r="B9" s="25">
        <f t="shared" ref="B9:J9" si="2">SUM(B7:B8)</f>
        <v>1158812.5</v>
      </c>
      <c r="C9" s="25">
        <f t="shared" si="2"/>
        <v>1206182.5</v>
      </c>
      <c r="D9" s="25">
        <f t="shared" si="2"/>
        <v>1256671</v>
      </c>
      <c r="E9" s="25">
        <f t="shared" si="2"/>
        <v>1241671</v>
      </c>
      <c r="F9" s="25">
        <f t="shared" si="2"/>
        <v>1226671</v>
      </c>
      <c r="G9" s="25">
        <f t="shared" si="2"/>
        <v>1211671</v>
      </c>
      <c r="H9" s="25">
        <f t="shared" si="2"/>
        <v>1265433.925</v>
      </c>
      <c r="I9" s="25">
        <f t="shared" si="2"/>
        <v>1249428.925</v>
      </c>
      <c r="J9" s="25">
        <f t="shared" si="2"/>
        <v>1330312.05</v>
      </c>
      <c r="K9" s="25">
        <f t="shared" ref="K9" si="3">SUM(K7:K8)</f>
        <v>1314173.05</v>
      </c>
      <c r="L9" s="25">
        <f t="shared" ref="L9" si="4">SUM(L7:L8)</f>
        <v>1304670.05</v>
      </c>
      <c r="M9" s="25">
        <f t="shared" ref="M9:O9" si="5">SUM(M7:M8)</f>
        <v>1283821.05</v>
      </c>
      <c r="N9" s="25">
        <f t="shared" si="5"/>
        <v>1262972.05</v>
      </c>
      <c r="O9" s="25">
        <f t="shared" si="5"/>
        <v>1242123.05</v>
      </c>
    </row>
    <row r="10" spans="1:16" x14ac:dyDescent="0.2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6" x14ac:dyDescent="0.2">
      <c r="A11" s="7" t="s">
        <v>51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6" x14ac:dyDescent="0.2">
      <c r="A12" s="18" t="s">
        <v>52</v>
      </c>
      <c r="B12" s="21">
        <v>59267</v>
      </c>
      <c r="C12" s="21">
        <f>+'income statement'!C15*0.125</f>
        <v>63689</v>
      </c>
      <c r="D12" s="21">
        <f>+'income statement'!D15*0.125</f>
        <v>66410.75</v>
      </c>
      <c r="E12" s="21">
        <f>+'income statement'!E15*0.125</f>
        <v>71325.375</v>
      </c>
      <c r="F12" s="21">
        <f>+'income statement'!F15*0.125</f>
        <v>76842.75</v>
      </c>
      <c r="G12" s="21">
        <f>+'income statement'!G15*0.125</f>
        <v>81004.05</v>
      </c>
      <c r="H12" s="21">
        <f>+'income statement'!H15*0.125</f>
        <v>85857.084999999992</v>
      </c>
      <c r="I12" s="21">
        <f>+'income statement'!I15*0.125</f>
        <v>94957.57699999999</v>
      </c>
      <c r="J12" s="21">
        <f>+'income statement'!J15*0.125</f>
        <v>98369.917400000006</v>
      </c>
      <c r="K12" s="21">
        <f>+'income statement'!K15*0.125</f>
        <v>104241.125</v>
      </c>
      <c r="L12" s="21">
        <f>+'income statement'!L15*0.125</f>
        <v>99654.75</v>
      </c>
      <c r="M12" s="21">
        <f>+'income statement'!M15*0.125</f>
        <v>97961.375</v>
      </c>
      <c r="N12" s="21">
        <f>+'income statement'!N15*0.125</f>
        <v>95186.75</v>
      </c>
      <c r="O12" s="21">
        <f>+'income statement'!O15*0.125</f>
        <v>98369.917400000006</v>
      </c>
    </row>
    <row r="13" spans="1:16" x14ac:dyDescent="0.2">
      <c r="A13" s="18" t="s">
        <v>53</v>
      </c>
      <c r="B13" s="21">
        <v>41689</v>
      </c>
      <c r="C13" s="21">
        <f>+SUM('income statement'!C18:C20)*0.166666666666667</f>
        <v>43723.686363636458</v>
      </c>
      <c r="D13" s="21">
        <f>+SUM('income statement'!D18:D20)*0.166666666666667</f>
        <v>46422.962121212207</v>
      </c>
      <c r="E13" s="21">
        <f>+SUM('income statement'!E18:E20)*0.166666666666667</f>
        <v>49332.907575757679</v>
      </c>
      <c r="F13" s="21">
        <f>+SUM('income statement'!F18:F20)*0.166666666666667</f>
        <v>52476.531818181924</v>
      </c>
      <c r="G13" s="21">
        <f>+SUM('income statement'!G18:G20)*0.166666666666667</f>
        <v>55880.939393939501</v>
      </c>
      <c r="H13" s="21">
        <f>+SUM('income statement'!H18:H20)*0.166666666666667</f>
        <v>59577.57333333345</v>
      </c>
      <c r="I13" s="21">
        <f>+SUM('income statement'!I18:I20)*0.166666666666667</f>
        <v>63603.177090909223</v>
      </c>
      <c r="J13" s="21">
        <f>+SUM('income statement'!J18:J20)*0.166666666666667</f>
        <v>68000.191903030442</v>
      </c>
      <c r="K13" s="21">
        <f>+SUM('income statement'!K18:K20)*0.166666666666667</f>
        <v>71623.856060606195</v>
      </c>
      <c r="L13" s="21">
        <f>+SUM('income statement'!L18:L20)*0.166666666666667</f>
        <v>69415.1166666668</v>
      </c>
      <c r="M13" s="21">
        <f>+SUM('income statement'!M18:M20)*0.166666666666667</f>
        <v>69011.125000000131</v>
      </c>
      <c r="N13" s="21">
        <f>+SUM('income statement'!N18:N20)*0.166666666666667</f>
        <v>67744.223333333459</v>
      </c>
      <c r="O13" s="21">
        <f>+SUM('income statement'!O18:O20)*0.166666666666667</f>
        <v>68000.191903030442</v>
      </c>
    </row>
    <row r="14" spans="1:16" x14ac:dyDescent="0.2">
      <c r="A14" s="18" t="s">
        <v>54</v>
      </c>
      <c r="B14" s="21">
        <v>295900.55562770553</v>
      </c>
      <c r="C14" s="34">
        <v>292143.81623398233</v>
      </c>
      <c r="D14" s="21">
        <v>278505.11537578562</v>
      </c>
      <c r="E14" s="21">
        <v>327248.46381496335</v>
      </c>
      <c r="F14" s="21">
        <v>381496.68997040857</v>
      </c>
      <c r="G14" s="21">
        <v>434317.22713535489</v>
      </c>
      <c r="H14" s="21">
        <v>445560.34635012317</v>
      </c>
      <c r="I14" s="21">
        <v>476277.33149995655</v>
      </c>
      <c r="J14" s="34">
        <v>421618.00027820817</v>
      </c>
      <c r="K14" s="34">
        <v>489323.86840378656</v>
      </c>
      <c r="L14" s="34">
        <v>544244.47000153805</v>
      </c>
      <c r="M14" s="34">
        <v>570962.66244560527</v>
      </c>
      <c r="N14" s="34">
        <v>653557.62306742859</v>
      </c>
      <c r="O14" s="34">
        <v>744460.94019656116</v>
      </c>
      <c r="P14" s="33" t="s">
        <v>109</v>
      </c>
    </row>
    <row r="15" spans="1:16" x14ac:dyDescent="0.2">
      <c r="A15" s="8" t="s">
        <v>55</v>
      </c>
      <c r="B15" s="25">
        <f t="shared" ref="B15:J15" si="6">SUM(B12:B14)</f>
        <v>396856.55562770553</v>
      </c>
      <c r="C15" s="25">
        <f t="shared" si="6"/>
        <v>399556.50259761879</v>
      </c>
      <c r="D15" s="25">
        <f t="shared" si="6"/>
        <v>391338.82749699784</v>
      </c>
      <c r="E15" s="25">
        <f t="shared" si="6"/>
        <v>447906.74639072106</v>
      </c>
      <c r="F15" s="25">
        <f t="shared" si="6"/>
        <v>510815.97178859048</v>
      </c>
      <c r="G15" s="25">
        <f t="shared" si="6"/>
        <v>571202.21652929438</v>
      </c>
      <c r="H15" s="25">
        <f t="shared" si="6"/>
        <v>590995.00468345662</v>
      </c>
      <c r="I15" s="25">
        <f t="shared" si="6"/>
        <v>634838.0855908657</v>
      </c>
      <c r="J15" s="25">
        <f t="shared" si="6"/>
        <v>587988.10958123859</v>
      </c>
      <c r="K15" s="25">
        <f t="shared" ref="K15" si="7">SUM(K12:K14)</f>
        <v>665188.84946439276</v>
      </c>
      <c r="L15" s="25">
        <f t="shared" ref="L15" si="8">SUM(L12:L14)</f>
        <v>713314.33666820487</v>
      </c>
      <c r="M15" s="25">
        <f t="shared" ref="M15:O15" si="9">SUM(M12:M14)</f>
        <v>737935.16244560538</v>
      </c>
      <c r="N15" s="25">
        <f t="shared" si="9"/>
        <v>816488.59640076198</v>
      </c>
      <c r="O15" s="25">
        <f t="shared" si="9"/>
        <v>910831.04949959158</v>
      </c>
    </row>
    <row r="16" spans="1:16" x14ac:dyDescent="0.2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</row>
    <row r="17" spans="1:15" ht="16" thickBot="1" x14ac:dyDescent="0.25">
      <c r="A17" s="10" t="s">
        <v>56</v>
      </c>
      <c r="B17" s="26">
        <f t="shared" ref="B17:J17" si="10">B9+B15</f>
        <v>1555669.0556277055</v>
      </c>
      <c r="C17" s="26">
        <f t="shared" si="10"/>
        <v>1605739.0025976188</v>
      </c>
      <c r="D17" s="26">
        <f t="shared" si="10"/>
        <v>1648009.8274969978</v>
      </c>
      <c r="E17" s="26">
        <f t="shared" si="10"/>
        <v>1689577.7463907211</v>
      </c>
      <c r="F17" s="26">
        <f t="shared" si="10"/>
        <v>1737486.9717885905</v>
      </c>
      <c r="G17" s="26">
        <f t="shared" si="10"/>
        <v>1782873.2165292944</v>
      </c>
      <c r="H17" s="26">
        <f t="shared" si="10"/>
        <v>1856428.9296834567</v>
      </c>
      <c r="I17" s="26">
        <f t="shared" si="10"/>
        <v>1884267.0105908657</v>
      </c>
      <c r="J17" s="26">
        <f t="shared" si="10"/>
        <v>1918300.1595812386</v>
      </c>
      <c r="K17" s="26">
        <f t="shared" ref="K17:M17" si="11">K9+K15</f>
        <v>1979361.8994643928</v>
      </c>
      <c r="L17" s="26">
        <f t="shared" si="11"/>
        <v>2017984.3866682048</v>
      </c>
      <c r="M17" s="26">
        <f t="shared" si="11"/>
        <v>2021756.2124456055</v>
      </c>
      <c r="N17" s="26">
        <f t="shared" ref="N17:O17" si="12">N9+N15</f>
        <v>2079460.646400762</v>
      </c>
      <c r="O17" s="26">
        <f t="shared" si="12"/>
        <v>2152954.0994995916</v>
      </c>
    </row>
    <row r="18" spans="1:15" ht="16" thickTop="1" x14ac:dyDescent="0.2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1:15" x14ac:dyDescent="0.2"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 x14ac:dyDescent="0.2">
      <c r="A20" s="7" t="s">
        <v>57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1:15" x14ac:dyDescent="0.2">
      <c r="A21" s="18" t="s">
        <v>58</v>
      </c>
      <c r="B21" s="21">
        <v>54897</v>
      </c>
      <c r="C21" s="21">
        <v>56580.578030303033</v>
      </c>
      <c r="D21" s="21">
        <v>59715.334204545456</v>
      </c>
      <c r="E21" s="21">
        <v>64101.501729924246</v>
      </c>
      <c r="F21" s="21">
        <v>69076.550389390148</v>
      </c>
      <c r="G21" s="21">
        <v>72035.847009065648</v>
      </c>
      <c r="H21" s="21">
        <v>77600.518542742255</v>
      </c>
      <c r="I21" s="21">
        <v>85978.307812047642</v>
      </c>
      <c r="J21" s="21">
        <v>89672.915356806421</v>
      </c>
      <c r="K21" s="21">
        <v>92333</v>
      </c>
      <c r="L21" s="21">
        <v>95111</v>
      </c>
      <c r="M21" s="21">
        <v>98069</v>
      </c>
      <c r="N21" s="21">
        <v>98069</v>
      </c>
      <c r="O21" s="21">
        <v>98069</v>
      </c>
    </row>
    <row r="22" spans="1:15" x14ac:dyDescent="0.2">
      <c r="A22" s="36" t="s">
        <v>59</v>
      </c>
      <c r="B22" s="21">
        <v>0</v>
      </c>
      <c r="C22" s="21">
        <v>6537.3630500000008</v>
      </c>
      <c r="D22" s="21">
        <v>6944.0815365000008</v>
      </c>
      <c r="E22" s="21">
        <v>7400.1832707050016</v>
      </c>
      <c r="F22" s="21">
        <v>7732.9587476368515</v>
      </c>
      <c r="G22" s="21">
        <v>8122.2445843530559</v>
      </c>
      <c r="H22" s="21">
        <v>8880.5269586584745</v>
      </c>
      <c r="I22" s="21">
        <v>9133.0654331953101</v>
      </c>
      <c r="J22" s="21">
        <v>9711.0412259532641</v>
      </c>
      <c r="K22" s="21">
        <v>10003</v>
      </c>
      <c r="L22" s="21">
        <v>11239</v>
      </c>
      <c r="M22" s="21">
        <v>9786</v>
      </c>
      <c r="N22" s="21">
        <v>9786</v>
      </c>
      <c r="O22" s="21">
        <v>9786</v>
      </c>
    </row>
    <row r="23" spans="1:15" x14ac:dyDescent="0.2">
      <c r="A23" s="18" t="s">
        <v>60</v>
      </c>
      <c r="B23" s="21">
        <f>+B44</f>
        <v>45993.01390692639</v>
      </c>
      <c r="C23" s="21">
        <f t="shared" ref="C23:J23" si="13">+C44</f>
        <v>69877.093716991309</v>
      </c>
      <c r="D23" s="21">
        <f t="shared" si="13"/>
        <v>82064.85414028677</v>
      </c>
      <c r="E23" s="21">
        <f t="shared" si="13"/>
        <v>93721.553813432067</v>
      </c>
      <c r="F23" s="21">
        <f t="shared" si="13"/>
        <v>105571.90335595903</v>
      </c>
      <c r="G23" s="21">
        <f t="shared" si="13"/>
        <v>119983.13795773652</v>
      </c>
      <c r="H23" s="21">
        <f t="shared" si="13"/>
        <v>141537.99098735489</v>
      </c>
      <c r="I23" s="21">
        <f t="shared" si="13"/>
        <v>162004.90901788883</v>
      </c>
      <c r="J23" s="21">
        <f t="shared" si="13"/>
        <v>180362.84761877684</v>
      </c>
      <c r="K23" s="21">
        <f t="shared" ref="K23:M23" si="14">+K44</f>
        <v>199633.28642497241</v>
      </c>
      <c r="L23" s="21">
        <f t="shared" si="14"/>
        <v>211603.58906502067</v>
      </c>
      <c r="M23" s="21">
        <f t="shared" si="14"/>
        <v>208360.64760084503</v>
      </c>
      <c r="N23" s="21">
        <f t="shared" ref="N23:O23" si="15">+N44</f>
        <v>220957.24642296828</v>
      </c>
      <c r="O23" s="21">
        <f t="shared" si="15"/>
        <v>236644.0412198299</v>
      </c>
    </row>
    <row r="24" spans="1:15" x14ac:dyDescent="0.2">
      <c r="A24" s="8" t="s">
        <v>61</v>
      </c>
      <c r="B24" s="25">
        <f t="shared" ref="B24:J24" si="16">SUM(B21:B23)</f>
        <v>100890.01390692638</v>
      </c>
      <c r="C24" s="25">
        <f t="shared" si="16"/>
        <v>132995.03479729436</v>
      </c>
      <c r="D24" s="25">
        <f t="shared" si="16"/>
        <v>148724.26988133223</v>
      </c>
      <c r="E24" s="25">
        <f t="shared" si="16"/>
        <v>165223.23881406133</v>
      </c>
      <c r="F24" s="25">
        <f t="shared" si="16"/>
        <v>182381.41249298601</v>
      </c>
      <c r="G24" s="25">
        <f t="shared" si="16"/>
        <v>200141.22955115524</v>
      </c>
      <c r="H24" s="25">
        <f t="shared" si="16"/>
        <v>228019.03648875561</v>
      </c>
      <c r="I24" s="25">
        <f t="shared" si="16"/>
        <v>257116.28226313178</v>
      </c>
      <c r="J24" s="25">
        <f t="shared" si="16"/>
        <v>279746.80420153652</v>
      </c>
      <c r="K24" s="25">
        <f t="shared" ref="K24" si="17">SUM(K21:K23)</f>
        <v>301969.28642497241</v>
      </c>
      <c r="L24" s="25">
        <f t="shared" ref="L24" si="18">SUM(L21:L23)</f>
        <v>317953.58906502067</v>
      </c>
      <c r="M24" s="25">
        <f t="shared" ref="M24:O24" si="19">SUM(M21:M23)</f>
        <v>316215.64760084503</v>
      </c>
      <c r="N24" s="25">
        <f t="shared" si="19"/>
        <v>328812.24642296828</v>
      </c>
      <c r="O24" s="25">
        <f t="shared" si="19"/>
        <v>344499.04121982993</v>
      </c>
    </row>
    <row r="25" spans="1:15" x14ac:dyDescent="0.2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</row>
    <row r="26" spans="1:15" x14ac:dyDescent="0.2">
      <c r="A26" s="7" t="s">
        <v>62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pans="1:15" x14ac:dyDescent="0.2">
      <c r="A27" s="18" t="s">
        <v>63</v>
      </c>
      <c r="B27" s="21">
        <v>250000</v>
      </c>
      <c r="C27" s="21">
        <v>250000</v>
      </c>
      <c r="D27" s="21">
        <v>250000</v>
      </c>
      <c r="E27" s="21">
        <v>250000</v>
      </c>
      <c r="F27" s="21">
        <v>250000</v>
      </c>
      <c r="G27" s="21">
        <v>250000</v>
      </c>
      <c r="H27" s="21">
        <v>250000</v>
      </c>
      <c r="I27" s="21">
        <v>200000</v>
      </c>
      <c r="J27" s="21">
        <v>150000</v>
      </c>
      <c r="K27" s="21">
        <v>150000</v>
      </c>
      <c r="L27" s="21">
        <v>150000</v>
      </c>
      <c r="M27" s="21">
        <v>150000</v>
      </c>
      <c r="N27" s="21">
        <v>150000</v>
      </c>
      <c r="O27" s="21">
        <v>150000</v>
      </c>
    </row>
    <row r="28" spans="1:15" x14ac:dyDescent="0.2">
      <c r="A28" s="8" t="s">
        <v>64</v>
      </c>
      <c r="B28" s="25">
        <f>SUM(B27)</f>
        <v>250000</v>
      </c>
      <c r="C28" s="25">
        <f t="shared" ref="C28:J28" si="20">SUM(C27)</f>
        <v>250000</v>
      </c>
      <c r="D28" s="25">
        <f t="shared" si="20"/>
        <v>250000</v>
      </c>
      <c r="E28" s="25">
        <f t="shared" si="20"/>
        <v>250000</v>
      </c>
      <c r="F28" s="25">
        <f t="shared" si="20"/>
        <v>250000</v>
      </c>
      <c r="G28" s="25">
        <f t="shared" si="20"/>
        <v>250000</v>
      </c>
      <c r="H28" s="25">
        <f t="shared" si="20"/>
        <v>250000</v>
      </c>
      <c r="I28" s="25">
        <f t="shared" si="20"/>
        <v>200000</v>
      </c>
      <c r="J28" s="25">
        <f t="shared" si="20"/>
        <v>150000</v>
      </c>
      <c r="K28" s="25">
        <f t="shared" ref="K28:M28" si="21">SUM(K27)</f>
        <v>150000</v>
      </c>
      <c r="L28" s="25">
        <f t="shared" si="21"/>
        <v>150000</v>
      </c>
      <c r="M28" s="25">
        <f t="shared" si="21"/>
        <v>150000</v>
      </c>
      <c r="N28" s="25">
        <f t="shared" ref="N28:O28" si="22">SUM(N27)</f>
        <v>150000</v>
      </c>
      <c r="O28" s="25">
        <f t="shared" si="22"/>
        <v>150000</v>
      </c>
    </row>
    <row r="29" spans="1:15" x14ac:dyDescent="0.2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</row>
    <row r="30" spans="1:15" x14ac:dyDescent="0.2">
      <c r="A30" s="7" t="s">
        <v>65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</row>
    <row r="31" spans="1:15" x14ac:dyDescent="0.2">
      <c r="A31" s="18" t="s">
        <v>66</v>
      </c>
      <c r="B31" s="21">
        <v>45000</v>
      </c>
      <c r="C31" s="21">
        <v>45000</v>
      </c>
      <c r="D31" s="21">
        <v>45000</v>
      </c>
      <c r="E31" s="21">
        <v>45000</v>
      </c>
      <c r="F31" s="21">
        <v>45000</v>
      </c>
      <c r="G31" s="21">
        <v>45000</v>
      </c>
      <c r="H31" s="21">
        <v>45000</v>
      </c>
      <c r="I31" s="21">
        <v>45000</v>
      </c>
      <c r="J31" s="21">
        <v>45000</v>
      </c>
      <c r="K31" s="21">
        <v>45000</v>
      </c>
      <c r="L31" s="21">
        <v>45000</v>
      </c>
      <c r="M31" s="21">
        <v>45000</v>
      </c>
      <c r="N31" s="21">
        <v>45000</v>
      </c>
      <c r="O31" s="21">
        <v>45000</v>
      </c>
    </row>
    <row r="32" spans="1:15" x14ac:dyDescent="0.2">
      <c r="A32" s="18" t="s">
        <v>67</v>
      </c>
      <c r="B32" s="21">
        <v>345500</v>
      </c>
      <c r="C32" s="21">
        <v>345500</v>
      </c>
      <c r="D32" s="21">
        <v>345500</v>
      </c>
      <c r="E32" s="21">
        <v>345500</v>
      </c>
      <c r="F32" s="21">
        <v>345500</v>
      </c>
      <c r="G32" s="21">
        <v>345500</v>
      </c>
      <c r="H32" s="21">
        <v>345500</v>
      </c>
      <c r="I32" s="21">
        <v>345500</v>
      </c>
      <c r="J32" s="21">
        <v>345500</v>
      </c>
      <c r="K32" s="21">
        <v>345500</v>
      </c>
      <c r="L32" s="21">
        <v>345500</v>
      </c>
      <c r="M32" s="21">
        <v>345500</v>
      </c>
      <c r="N32" s="21">
        <v>345500</v>
      </c>
      <c r="O32" s="21">
        <v>345500</v>
      </c>
    </row>
    <row r="33" spans="1:15" x14ac:dyDescent="0.2">
      <c r="A33" s="18" t="s">
        <v>68</v>
      </c>
      <c r="B33" s="21">
        <v>796000</v>
      </c>
      <c r="C33" s="21">
        <f>B33</f>
        <v>796000</v>
      </c>
      <c r="D33" s="21">
        <f t="shared" ref="D33:J33" si="23">C33</f>
        <v>796000</v>
      </c>
      <c r="E33" s="21">
        <f t="shared" si="23"/>
        <v>796000</v>
      </c>
      <c r="F33" s="21">
        <f t="shared" si="23"/>
        <v>796000</v>
      </c>
      <c r="G33" s="21">
        <f t="shared" si="23"/>
        <v>796000</v>
      </c>
      <c r="H33" s="21">
        <f t="shared" si="23"/>
        <v>796000</v>
      </c>
      <c r="I33" s="21">
        <f t="shared" si="23"/>
        <v>796000</v>
      </c>
      <c r="J33" s="21">
        <f t="shared" si="23"/>
        <v>796000</v>
      </c>
      <c r="K33" s="21">
        <f t="shared" ref="K33" si="24">J33</f>
        <v>796000</v>
      </c>
      <c r="L33" s="21">
        <f t="shared" ref="L33" si="25">K33</f>
        <v>796000</v>
      </c>
      <c r="M33" s="21">
        <f t="shared" ref="M33" si="26">L33</f>
        <v>796000</v>
      </c>
      <c r="N33" s="40">
        <f>M33+M34</f>
        <v>1165040.5648447606</v>
      </c>
      <c r="O33" s="21">
        <f t="shared" ref="O33" si="27">N33</f>
        <v>1165040.5648447606</v>
      </c>
    </row>
    <row r="34" spans="1:15" x14ac:dyDescent="0.2">
      <c r="A34" s="18" t="s">
        <v>69</v>
      </c>
      <c r="B34" s="21">
        <f>+'income statement'!C84</f>
        <v>18279.041720779169</v>
      </c>
      <c r="C34" s="21">
        <f>+'income statement'!D84+B34</f>
        <v>36243.967800324644</v>
      </c>
      <c r="D34" s="21">
        <f>+'income statement'!E84+C34</f>
        <v>62785.557615665522</v>
      </c>
      <c r="E34" s="21">
        <f>+'income statement'!F84+D34</f>
        <v>87854.507576659831</v>
      </c>
      <c r="F34" s="21">
        <f>+'income statement'!G84+E34</f>
        <v>118605.5592956044</v>
      </c>
      <c r="G34" s="21">
        <f>+'income statement'!H84+F34</f>
        <v>146231.98697813912</v>
      </c>
      <c r="H34" s="21">
        <f>+'income statement'!I84+G34</f>
        <v>191909.89319470094</v>
      </c>
      <c r="I34" s="21">
        <f>+'income statement'!J84+H34</f>
        <v>240650.72832773405</v>
      </c>
      <c r="J34" s="21">
        <f>+'income statement'!K84+I34</f>
        <v>302053.35537970217</v>
      </c>
      <c r="K34" s="21">
        <f>+'income statement'!L84+J34</f>
        <v>340892.61303942039</v>
      </c>
      <c r="L34" s="21">
        <f>+'income statement'!M84+K34</f>
        <v>363530.79760318436</v>
      </c>
      <c r="M34" s="21">
        <f>+'income statement'!N84+L34</f>
        <v>369040.56484476058</v>
      </c>
      <c r="N34" s="40">
        <f>+'income statement'!O84</f>
        <v>45107.835133033092</v>
      </c>
      <c r="O34" s="21">
        <f>+'income statement'!P84+N34</f>
        <v>102914.49343500119</v>
      </c>
    </row>
    <row r="35" spans="1:15" x14ac:dyDescent="0.2">
      <c r="A35" s="8" t="s">
        <v>70</v>
      </c>
      <c r="B35" s="25">
        <f>SUM(B31:B34)</f>
        <v>1204779.0417207791</v>
      </c>
      <c r="C35" s="25">
        <f t="shared" ref="C35:J35" si="28">SUM(C31:C34)</f>
        <v>1222743.9678003245</v>
      </c>
      <c r="D35" s="25">
        <f t="shared" si="28"/>
        <v>1249285.5576156655</v>
      </c>
      <c r="E35" s="25">
        <f t="shared" si="28"/>
        <v>1274354.5075766598</v>
      </c>
      <c r="F35" s="25">
        <f t="shared" si="28"/>
        <v>1305105.5592956045</v>
      </c>
      <c r="G35" s="25">
        <f t="shared" si="28"/>
        <v>1332731.986978139</v>
      </c>
      <c r="H35" s="25">
        <f t="shared" si="28"/>
        <v>1378409.8931947011</v>
      </c>
      <c r="I35" s="25">
        <f t="shared" si="28"/>
        <v>1427150.7283277339</v>
      </c>
      <c r="J35" s="25">
        <f t="shared" si="28"/>
        <v>1488553.3553797021</v>
      </c>
      <c r="K35" s="25">
        <f t="shared" ref="K35:M35" si="29">SUM(K31:K34)</f>
        <v>1527392.6130394205</v>
      </c>
      <c r="L35" s="25">
        <f t="shared" si="29"/>
        <v>1550030.7976031844</v>
      </c>
      <c r="M35" s="25">
        <f t="shared" si="29"/>
        <v>1555540.5648447606</v>
      </c>
      <c r="N35" s="25">
        <f t="shared" ref="N35:O35" si="30">SUM(N31:N34)</f>
        <v>1600648.3999777937</v>
      </c>
      <c r="O35" s="25">
        <f t="shared" si="30"/>
        <v>1658455.0582797618</v>
      </c>
    </row>
    <row r="36" spans="1:15" x14ac:dyDescent="0.2"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</row>
    <row r="37" spans="1:15" ht="16" thickBot="1" x14ac:dyDescent="0.25">
      <c r="A37" s="10" t="s">
        <v>71</v>
      </c>
      <c r="B37" s="26">
        <f>B24+B28+B35</f>
        <v>1555669.0556277055</v>
      </c>
      <c r="C37" s="26">
        <f>C24+C28+C35</f>
        <v>1605739.0025976188</v>
      </c>
      <c r="D37" s="26">
        <f>D24+D28+D35</f>
        <v>1648009.8274969978</v>
      </c>
      <c r="E37" s="26">
        <f t="shared" ref="E37:J37" si="31">E24+E28+E35</f>
        <v>1689577.7463907211</v>
      </c>
      <c r="F37" s="26">
        <f t="shared" si="31"/>
        <v>1737486.9717885905</v>
      </c>
      <c r="G37" s="26">
        <f t="shared" si="31"/>
        <v>1782873.2165292944</v>
      </c>
      <c r="H37" s="26">
        <f t="shared" si="31"/>
        <v>1856428.9296834567</v>
      </c>
      <c r="I37" s="26">
        <f t="shared" si="31"/>
        <v>1884267.0105908657</v>
      </c>
      <c r="J37" s="26">
        <f t="shared" si="31"/>
        <v>1918300.1595812386</v>
      </c>
      <c r="K37" s="26">
        <f t="shared" ref="K37:M37" si="32">K24+K28+K35</f>
        <v>1979361.8994643928</v>
      </c>
      <c r="L37" s="26">
        <f t="shared" si="32"/>
        <v>2017984.386668205</v>
      </c>
      <c r="M37" s="26">
        <f t="shared" si="32"/>
        <v>2021756.2124456055</v>
      </c>
      <c r="N37" s="26">
        <f t="shared" ref="N37:O37" si="33">N24+N28+N35</f>
        <v>2079460.646400762</v>
      </c>
      <c r="O37" s="26">
        <f t="shared" si="33"/>
        <v>2152954.0994995916</v>
      </c>
    </row>
    <row r="38" spans="1:15" s="33" customFormat="1" ht="16" thickTop="1" x14ac:dyDescent="0.2">
      <c r="A38" s="33" t="s">
        <v>103</v>
      </c>
      <c r="B38" s="34">
        <f>-(B17-B37)</f>
        <v>0</v>
      </c>
      <c r="C38" s="34">
        <f t="shared" ref="C38:J38" si="34">-(C17-C37)</f>
        <v>0</v>
      </c>
      <c r="D38" s="34">
        <f t="shared" si="34"/>
        <v>0</v>
      </c>
      <c r="E38" s="34">
        <f t="shared" si="34"/>
        <v>0</v>
      </c>
      <c r="F38" s="34">
        <f t="shared" si="34"/>
        <v>0</v>
      </c>
      <c r="G38" s="34">
        <f t="shared" si="34"/>
        <v>0</v>
      </c>
      <c r="H38" s="34">
        <f t="shared" si="34"/>
        <v>0</v>
      </c>
      <c r="I38" s="34">
        <f t="shared" si="34"/>
        <v>0</v>
      </c>
      <c r="J38" s="34">
        <f t="shared" si="34"/>
        <v>0</v>
      </c>
      <c r="K38" s="34">
        <f t="shared" ref="K38:O38" si="35">-(K17-K37)</f>
        <v>0</v>
      </c>
      <c r="L38" s="34">
        <f t="shared" si="35"/>
        <v>2.3283064365386963E-10</v>
      </c>
      <c r="M38" s="34">
        <f t="shared" si="35"/>
        <v>0</v>
      </c>
      <c r="N38" s="34">
        <f t="shared" si="35"/>
        <v>0</v>
      </c>
      <c r="O38" s="34">
        <f t="shared" si="35"/>
        <v>0</v>
      </c>
    </row>
    <row r="39" spans="1:15" x14ac:dyDescent="0.2">
      <c r="B39" s="4"/>
      <c r="C39" s="4"/>
      <c r="D39" s="4"/>
      <c r="E39" s="4"/>
      <c r="F39" s="4"/>
      <c r="G39" s="4"/>
      <c r="H39" s="4"/>
      <c r="I39" s="4"/>
      <c r="J39" s="4"/>
    </row>
    <row r="40" spans="1:15" s="17" customFormat="1" x14ac:dyDescent="0.2">
      <c r="A40" s="28" t="s">
        <v>44</v>
      </c>
    </row>
    <row r="41" spans="1:15" s="17" customFormat="1" x14ac:dyDescent="0.2">
      <c r="A41" s="29" t="s">
        <v>99</v>
      </c>
      <c r="B41" s="17">
        <v>26899</v>
      </c>
      <c r="C41" s="17">
        <f>SUM('income statement'!B48,'income statement'!B21)*(83%*30%)</f>
        <v>28710.316571428568</v>
      </c>
      <c r="D41" s="17">
        <f>SUM('income statement'!C48,'income statement'!C21)*(83%*30%)</f>
        <v>29130.628571428566</v>
      </c>
      <c r="E41" s="17">
        <f>SUM('income statement'!D48,'income statement'!D21)*(83%*30%)</f>
        <v>29837.918999999998</v>
      </c>
      <c r="F41" s="17">
        <f>SUM('income statement'!E48,'income statement'!E21)*(83%*30%)</f>
        <v>29837.918999999998</v>
      </c>
      <c r="G41" s="17">
        <f>SUM('income statement'!F48,'income statement'!F21)*(83%*30%)</f>
        <v>33582.602765624993</v>
      </c>
      <c r="H41" s="17">
        <f>SUM('income statement'!G48,'income statement'!G21)*(83%*30%)</f>
        <v>35404.562999999995</v>
      </c>
      <c r="I41" s="17">
        <f>SUM('income statement'!H48,'income statement'!H21)*(83%*30%)</f>
        <v>37537.285826601561</v>
      </c>
      <c r="J41" s="17">
        <f>SUM('income statement'!I48,'income statement'!I21)*(83%*30%)</f>
        <v>35920.241999999998</v>
      </c>
      <c r="K41" s="17">
        <f>SUM('income statement'!J48,'income statement'!J21)*(83%*30%)</f>
        <v>36218.045999999988</v>
      </c>
      <c r="L41" s="17">
        <f>SUM('income statement'!K48,'income statement'!K21)*(83%*30%)</f>
        <v>36578.1</v>
      </c>
      <c r="M41" s="17">
        <f>SUM('income statement'!L48,'income statement'!L21)*(83%*30%)</f>
        <v>37091.012609999998</v>
      </c>
      <c r="N41" s="17">
        <f>SUM('income statement'!M48,'income statement'!M21)*(83%*30%)</f>
        <v>37712.092886699997</v>
      </c>
      <c r="O41" s="17">
        <f>SUM('income statement'!N48,'income statement'!N21)*(83%*30%)</f>
        <v>38203.929803289</v>
      </c>
    </row>
    <row r="42" spans="1:15" s="17" customFormat="1" x14ac:dyDescent="0.2">
      <c r="A42" s="29" t="s">
        <v>105</v>
      </c>
      <c r="B42" s="17">
        <f>-'income statement'!C82</f>
        <v>6093.0139069263896</v>
      </c>
      <c r="C42" s="17">
        <f>-'income statement'!D82+B42</f>
        <v>12081.322600108215</v>
      </c>
      <c r="D42" s="17">
        <f>-'income statement'!E82+C42</f>
        <v>20928.519205221841</v>
      </c>
      <c r="E42" s="17">
        <f>-'income statement'!F82+D42</f>
        <v>29284.83585888661</v>
      </c>
      <c r="F42" s="17">
        <f>-'income statement'!G82+E42</f>
        <v>39535.186431868133</v>
      </c>
      <c r="G42" s="17">
        <f>-'income statement'!H82+F42</f>
        <v>48743.995659379703</v>
      </c>
      <c r="H42" s="17">
        <f>-'income statement'!I82+G42</f>
        <v>63969.964398233649</v>
      </c>
      <c r="I42" s="17">
        <f>-'income statement'!J82+H42</f>
        <v>80216.909442578006</v>
      </c>
      <c r="J42" s="17">
        <f>-'income statement'!K82+I42</f>
        <v>100684.45179323404</v>
      </c>
      <c r="K42" s="17">
        <f>-'income statement'!L82+J42</f>
        <v>113630.87101314012</v>
      </c>
      <c r="L42" s="17">
        <f>-'income statement'!M82+K42</f>
        <v>121176.93253439477</v>
      </c>
      <c r="M42" s="17">
        <f>-'income statement'!N82+L42</f>
        <v>123013.52161492017</v>
      </c>
      <c r="N42" s="17">
        <f>-'income statement'!O82+M42</f>
        <v>138049.46665926452</v>
      </c>
      <c r="O42" s="17">
        <f>-'income statement'!P82+N42</f>
        <v>157318.35275992056</v>
      </c>
    </row>
    <row r="43" spans="1:15" s="17" customFormat="1" x14ac:dyDescent="0.2">
      <c r="A43" s="29" t="s">
        <v>100</v>
      </c>
      <c r="B43" s="17">
        <v>13001</v>
      </c>
      <c r="C43" s="17">
        <f>+'income statement'!B8*20%-'income statement'!B89*20%</f>
        <v>29085.454545454537</v>
      </c>
      <c r="D43" s="17">
        <f>+'income statement'!C8*20%-'income statement'!C89*20%</f>
        <v>32005.70636363636</v>
      </c>
      <c r="E43" s="17">
        <f>+'income statement'!D8*20%-'income statement'!D89*20%</f>
        <v>34598.798954545462</v>
      </c>
      <c r="F43" s="17">
        <f>+'income statement'!E8*20%-'income statement'!E89*20%</f>
        <v>36198.797924090904</v>
      </c>
      <c r="G43" s="17">
        <f>+'income statement'!F8*20%-'income statement'!F89*20%</f>
        <v>37656.539532731826</v>
      </c>
      <c r="H43" s="17">
        <f>+'income statement'!G8*20%-'income statement'!G89*20%</f>
        <v>42163.463589121224</v>
      </c>
      <c r="I43" s="17">
        <f>+'income statement'!H8*20%-'income statement'!H89*20%</f>
        <v>44250.71374870927</v>
      </c>
      <c r="J43" s="17">
        <f>+'income statement'!I8*20%-'income statement'!I89*20%</f>
        <v>43758.153825542817</v>
      </c>
      <c r="K43" s="17">
        <f>+'income statement'!J8*20%-'income statement'!J89*20%</f>
        <v>49784.369411832304</v>
      </c>
      <c r="L43" s="17">
        <f>+'income statement'!K8*20%-'income statement'!K89*20%</f>
        <v>53848.556530625894</v>
      </c>
      <c r="M43" s="17">
        <f>+'income statement'!L8*20%-'income statement'!L89*20%</f>
        <v>48256.113375924848</v>
      </c>
      <c r="N43" s="17">
        <f>+'income statement'!M8*20%-'income statement'!M89*20%</f>
        <v>45195.68687700374</v>
      </c>
      <c r="O43" s="17">
        <f>+'income statement'!N8*20%-'income statement'!N89*20%</f>
        <v>41121.758656620339</v>
      </c>
    </row>
    <row r="44" spans="1:15" s="17" customFormat="1" x14ac:dyDescent="0.2">
      <c r="B44" s="22">
        <f>SUM(B41:B43)</f>
        <v>45993.01390692639</v>
      </c>
      <c r="C44" s="22">
        <f t="shared" ref="C44:J44" si="36">SUM(C41:C43)</f>
        <v>69877.093716991309</v>
      </c>
      <c r="D44" s="22">
        <f t="shared" si="36"/>
        <v>82064.85414028677</v>
      </c>
      <c r="E44" s="22">
        <f t="shared" si="36"/>
        <v>93721.553813432067</v>
      </c>
      <c r="F44" s="22">
        <f t="shared" si="36"/>
        <v>105571.90335595903</v>
      </c>
      <c r="G44" s="22">
        <f t="shared" si="36"/>
        <v>119983.13795773652</v>
      </c>
      <c r="H44" s="22">
        <f t="shared" si="36"/>
        <v>141537.99098735489</v>
      </c>
      <c r="I44" s="22">
        <f t="shared" si="36"/>
        <v>162004.90901788883</v>
      </c>
      <c r="J44" s="22">
        <f t="shared" si="36"/>
        <v>180362.84761877684</v>
      </c>
      <c r="K44" s="22">
        <f t="shared" ref="K44:M44" si="37">SUM(K41:K43)</f>
        <v>199633.28642497241</v>
      </c>
      <c r="L44" s="22">
        <f t="shared" si="37"/>
        <v>211603.58906502067</v>
      </c>
      <c r="M44" s="22">
        <f t="shared" si="37"/>
        <v>208360.64760084503</v>
      </c>
      <c r="N44" s="22">
        <f t="shared" ref="N44:O44" si="38">SUM(N41:N43)</f>
        <v>220957.24642296828</v>
      </c>
      <c r="O44" s="22">
        <f t="shared" si="38"/>
        <v>236644.0412198299</v>
      </c>
    </row>
    <row r="46" spans="1:15" x14ac:dyDescent="0.2">
      <c r="M46" s="4"/>
    </row>
    <row r="50" spans="13:13" x14ac:dyDescent="0.2">
      <c r="M50" s="4"/>
    </row>
  </sheetData>
  <mergeCells count="1">
    <mergeCell ref="B1:J1"/>
  </mergeCells>
  <pageMargins left="0.7" right="0.7" top="0.75" bottom="0.75" header="0.3" footer="0.3"/>
  <pageSetup paperSize="9" orientation="landscape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6723B-4E5E-4F3C-A08D-72C4510C9CAF}">
  <dimension ref="A1:N31"/>
  <sheetViews>
    <sheetView showGridLines="0" workbookViewId="0">
      <pane ySplit="2" topLeftCell="A3" activePane="bottomLeft" state="frozen"/>
      <selection pane="bottomLeft" activeCell="L12" sqref="L12"/>
    </sheetView>
  </sheetViews>
  <sheetFormatPr baseColWidth="10" defaultColWidth="8.83203125" defaultRowHeight="15" x14ac:dyDescent="0.2"/>
  <cols>
    <col min="1" max="1" width="37" customWidth="1"/>
    <col min="2" max="9" width="11.83203125" bestFit="1" customWidth="1"/>
    <col min="10" max="10" width="10.5" bestFit="1" customWidth="1"/>
  </cols>
  <sheetData>
    <row r="1" spans="1:14" x14ac:dyDescent="0.2">
      <c r="B1" s="41" t="s">
        <v>0</v>
      </c>
      <c r="C1" s="41"/>
      <c r="D1" s="41"/>
      <c r="E1" s="41"/>
      <c r="F1" s="41"/>
      <c r="G1" s="41"/>
      <c r="H1" s="41"/>
      <c r="I1" s="41"/>
      <c r="M1" s="7" t="s">
        <v>108</v>
      </c>
    </row>
    <row r="2" spans="1:14" x14ac:dyDescent="0.2">
      <c r="B2" s="1">
        <v>45536</v>
      </c>
      <c r="C2" s="1">
        <v>45566</v>
      </c>
      <c r="D2" s="1">
        <v>45597</v>
      </c>
      <c r="E2" s="1">
        <v>45627</v>
      </c>
      <c r="F2" s="1">
        <v>45658</v>
      </c>
      <c r="G2" s="1">
        <v>45689</v>
      </c>
      <c r="H2" s="1">
        <v>45717</v>
      </c>
      <c r="I2" s="1">
        <v>45748</v>
      </c>
      <c r="J2" s="1">
        <v>45778</v>
      </c>
      <c r="K2" s="1">
        <v>45809</v>
      </c>
      <c r="L2" s="1">
        <v>45839</v>
      </c>
      <c r="M2" s="1">
        <v>45870</v>
      </c>
      <c r="N2" s="1">
        <v>45901</v>
      </c>
    </row>
    <row r="3" spans="1:14" x14ac:dyDescent="0.2">
      <c r="A3" s="7" t="s">
        <v>83</v>
      </c>
      <c r="B3" s="21">
        <f>'income statement'!D84</f>
        <v>17964.926079545476</v>
      </c>
      <c r="C3" s="21">
        <f>'income statement'!E84</f>
        <v>26541.589815340878</v>
      </c>
      <c r="D3" s="21">
        <f>'income statement'!F84</f>
        <v>25068.949960994309</v>
      </c>
      <c r="E3" s="21">
        <f>'income statement'!G84</f>
        <v>30751.051718944567</v>
      </c>
      <c r="F3" s="21">
        <f>'income statement'!H84</f>
        <v>27626.427682534711</v>
      </c>
      <c r="G3" s="21">
        <f>'income statement'!I84</f>
        <v>45677.906216561838</v>
      </c>
      <c r="H3" s="21">
        <f>'income statement'!J84</f>
        <v>48740.835133033092</v>
      </c>
      <c r="I3" s="21">
        <f>'income statement'!K84</f>
        <v>61402.627051968098</v>
      </c>
      <c r="J3" s="21">
        <f>'income statement'!L84</f>
        <v>38839.257659718234</v>
      </c>
      <c r="K3" s="21">
        <f>'income statement'!M84</f>
        <v>22638.184563763964</v>
      </c>
      <c r="L3" s="21">
        <f>'income statement'!N84</f>
        <v>5509.7672415762281</v>
      </c>
      <c r="M3" s="21">
        <f>'income statement'!O84</f>
        <v>45107.835133033092</v>
      </c>
      <c r="N3" s="21">
        <f>'income statement'!P84</f>
        <v>57806.658301968098</v>
      </c>
    </row>
    <row r="4" spans="1:14" x14ac:dyDescent="0.2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x14ac:dyDescent="0.2">
      <c r="A5" s="7" t="s">
        <v>84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x14ac:dyDescent="0.2">
      <c r="A6" s="18" t="s">
        <v>72</v>
      </c>
      <c r="B6" s="21">
        <f>'balance sheet'!B8-'balance sheet'!C8</f>
        <v>15630</v>
      </c>
      <c r="C6" s="21">
        <f>'balance sheet'!C8-'balance sheet'!D8</f>
        <v>15661.5</v>
      </c>
      <c r="D6" s="21">
        <f>'balance sheet'!D8-'balance sheet'!E8</f>
        <v>15000</v>
      </c>
      <c r="E6" s="21">
        <f>'balance sheet'!E8-'balance sheet'!F8</f>
        <v>15000</v>
      </c>
      <c r="F6" s="21">
        <f>'balance sheet'!F8-'balance sheet'!G8</f>
        <v>15000</v>
      </c>
      <c r="G6" s="21">
        <f>'balance sheet'!G8-'balance sheet'!H8</f>
        <v>15694.575000000012</v>
      </c>
      <c r="H6" s="21">
        <f>'balance sheet'!H8-'balance sheet'!I8</f>
        <v>16005</v>
      </c>
      <c r="I6" s="21">
        <f>'balance sheet'!I8-'balance sheet'!J8</f>
        <v>16054.375</v>
      </c>
      <c r="J6" s="21">
        <f>'balance sheet'!J8-'balance sheet'!K8</f>
        <v>16139</v>
      </c>
      <c r="K6" s="21">
        <f>'balance sheet'!K8-'balance sheet'!L8</f>
        <v>20849</v>
      </c>
      <c r="L6" s="21">
        <f>'balance sheet'!L8-'balance sheet'!M8</f>
        <v>20849</v>
      </c>
      <c r="M6" s="21">
        <f>'balance sheet'!M8-'balance sheet'!N8</f>
        <v>20849</v>
      </c>
      <c r="N6" s="21">
        <f>'balance sheet'!N8-'balance sheet'!O8</f>
        <v>20849</v>
      </c>
    </row>
    <row r="7" spans="1:14" x14ac:dyDescent="0.2">
      <c r="A7" s="18" t="s">
        <v>73</v>
      </c>
      <c r="B7" s="21">
        <f>'balance sheet'!B12-'balance sheet'!C12</f>
        <v>-4422</v>
      </c>
      <c r="C7" s="30">
        <f>'balance sheet'!C12-'balance sheet'!D12</f>
        <v>-2721.75</v>
      </c>
      <c r="D7" s="30">
        <f>'balance sheet'!D12-'balance sheet'!E12</f>
        <v>-4914.625</v>
      </c>
      <c r="E7" s="30">
        <f>'balance sheet'!E12-'balance sheet'!F12</f>
        <v>-5517.375</v>
      </c>
      <c r="F7" s="30">
        <f>'balance sheet'!F12-'balance sheet'!G12</f>
        <v>-4161.3000000000029</v>
      </c>
      <c r="G7" s="30">
        <f>'balance sheet'!G12-'balance sheet'!H12</f>
        <v>-4853.0349999999889</v>
      </c>
      <c r="H7" s="30">
        <f>'balance sheet'!H12-'balance sheet'!I12</f>
        <v>-9100.4919999999984</v>
      </c>
      <c r="I7" s="30">
        <f>'balance sheet'!I12-'balance sheet'!J12</f>
        <v>-3412.3404000000155</v>
      </c>
      <c r="J7" s="30">
        <f>'balance sheet'!J12-'balance sheet'!K12</f>
        <v>-5871.2075999999943</v>
      </c>
      <c r="K7" s="30">
        <f>'balance sheet'!K12-'balance sheet'!L12</f>
        <v>4586.375</v>
      </c>
      <c r="L7" s="30">
        <f>'balance sheet'!L12-'balance sheet'!M12</f>
        <v>1693.375</v>
      </c>
      <c r="M7" s="30">
        <f>'balance sheet'!M12-'balance sheet'!N12</f>
        <v>2774.625</v>
      </c>
      <c r="N7" s="30">
        <f>'balance sheet'!N12-'balance sheet'!O12</f>
        <v>-3183.1674000000057</v>
      </c>
    </row>
    <row r="8" spans="1:14" x14ac:dyDescent="0.2">
      <c r="A8" s="18" t="s">
        <v>74</v>
      </c>
      <c r="B8" s="21">
        <f>'balance sheet'!B13-'balance sheet'!C13</f>
        <v>-2034.6863636364578</v>
      </c>
      <c r="C8" s="30">
        <f>'balance sheet'!C13-'balance sheet'!D13</f>
        <v>-2699.2757575757496</v>
      </c>
      <c r="D8" s="30">
        <f>'balance sheet'!D13-'balance sheet'!E13</f>
        <v>-2909.9454545454719</v>
      </c>
      <c r="E8" s="30">
        <f>'balance sheet'!E13-'balance sheet'!F13</f>
        <v>-3143.6242424242446</v>
      </c>
      <c r="F8" s="30">
        <f>'balance sheet'!F13-'balance sheet'!G13</f>
        <v>-3404.4075757575774</v>
      </c>
      <c r="G8" s="30">
        <f>'balance sheet'!G13-'balance sheet'!H13</f>
        <v>-3696.6339393939488</v>
      </c>
      <c r="H8" s="30">
        <f>'balance sheet'!H13-'balance sheet'!I13</f>
        <v>-4025.6037575757728</v>
      </c>
      <c r="I8" s="30">
        <f>'balance sheet'!I13-'balance sheet'!J13</f>
        <v>-4397.0148121212187</v>
      </c>
      <c r="J8" s="30">
        <f>'balance sheet'!J13-'balance sheet'!K13</f>
        <v>-3623.6641575757531</v>
      </c>
      <c r="K8" s="30">
        <f>'balance sheet'!K13-'balance sheet'!L13</f>
        <v>2208.7393939393951</v>
      </c>
      <c r="L8" s="30">
        <f>'balance sheet'!L13-'balance sheet'!M13</f>
        <v>403.99166666666861</v>
      </c>
      <c r="M8" s="30">
        <f>'balance sheet'!M13-'balance sheet'!N13</f>
        <v>1266.9016666666721</v>
      </c>
      <c r="N8" s="30">
        <f>'balance sheet'!N13-'balance sheet'!O13</f>
        <v>-255.96856969698274</v>
      </c>
    </row>
    <row r="9" spans="1:14" x14ac:dyDescent="0.2">
      <c r="A9" s="18" t="s">
        <v>75</v>
      </c>
      <c r="B9" s="21">
        <f>'balance sheet'!C21-'balance sheet'!B21</f>
        <v>1683.5780303030333</v>
      </c>
      <c r="C9" s="21">
        <f>'balance sheet'!D21-'balance sheet'!C21</f>
        <v>3134.7561742424223</v>
      </c>
      <c r="D9" s="21">
        <f>'balance sheet'!E21-'balance sheet'!D21</f>
        <v>4386.1675253787907</v>
      </c>
      <c r="E9" s="21">
        <f>'balance sheet'!F21-'balance sheet'!E21</f>
        <v>4975.0486594659014</v>
      </c>
      <c r="F9" s="21">
        <f>'balance sheet'!G21-'balance sheet'!F21</f>
        <v>2959.2966196755006</v>
      </c>
      <c r="G9" s="21">
        <f>'balance sheet'!H21-'balance sheet'!G21</f>
        <v>5564.6715336766065</v>
      </c>
      <c r="H9" s="21">
        <f>'balance sheet'!I21-'balance sheet'!H21</f>
        <v>8377.7892693053873</v>
      </c>
      <c r="I9" s="21">
        <f>'balance sheet'!J21-'balance sheet'!I21</f>
        <v>3694.6075447587791</v>
      </c>
      <c r="J9" s="21">
        <f>'balance sheet'!K21-'balance sheet'!J21</f>
        <v>2660.0846431935788</v>
      </c>
      <c r="K9" s="21">
        <f>'balance sheet'!L21-'balance sheet'!K21</f>
        <v>2778</v>
      </c>
      <c r="L9" s="21">
        <f>'balance sheet'!M21-'balance sheet'!L21</f>
        <v>2958</v>
      </c>
      <c r="M9" s="21">
        <f>'balance sheet'!N21-'balance sheet'!M21</f>
        <v>0</v>
      </c>
      <c r="N9" s="21">
        <f>'balance sheet'!O21-'balance sheet'!N21</f>
        <v>0</v>
      </c>
    </row>
    <row r="10" spans="1:14" x14ac:dyDescent="0.2">
      <c r="A10" s="19" t="s">
        <v>104</v>
      </c>
      <c r="B10" s="21">
        <f>+'balance sheet'!C23-'balance sheet'!B23</f>
        <v>23884.079810064919</v>
      </c>
      <c r="C10" s="21">
        <f>+'balance sheet'!D23-'balance sheet'!C23</f>
        <v>12187.760423295462</v>
      </c>
      <c r="D10" s="21">
        <f>+'balance sheet'!E23-'balance sheet'!D23</f>
        <v>11656.699673145296</v>
      </c>
      <c r="E10" s="21">
        <f>+'balance sheet'!F23-'balance sheet'!E23</f>
        <v>11850.349542526965</v>
      </c>
      <c r="F10" s="21">
        <f>+'balance sheet'!G23-'balance sheet'!F23</f>
        <v>14411.234601777483</v>
      </c>
      <c r="G10" s="21">
        <f>+'balance sheet'!H23-'balance sheet'!G23</f>
        <v>21554.853029618374</v>
      </c>
      <c r="H10" s="21">
        <f>+'balance sheet'!I23-'balance sheet'!H23</f>
        <v>20466.91803053394</v>
      </c>
      <c r="I10" s="21">
        <f>+'balance sheet'!J23-'balance sheet'!I23</f>
        <v>18357.93860088801</v>
      </c>
      <c r="J10" s="21">
        <f>+'balance sheet'!K23-'balance sheet'!J23</f>
        <v>19270.438806195569</v>
      </c>
      <c r="K10" s="21">
        <f>+'balance sheet'!L23-'balance sheet'!K23</f>
        <v>11970.302640048263</v>
      </c>
      <c r="L10" s="21">
        <f>+'balance sheet'!M23-'balance sheet'!L23</f>
        <v>-3242.9414641756448</v>
      </c>
      <c r="M10" s="21">
        <f>+'balance sheet'!N23-'balance sheet'!M23</f>
        <v>12596.598822123255</v>
      </c>
      <c r="N10" s="21">
        <f>+'balance sheet'!O23-'balance sheet'!N23</f>
        <v>15686.794796861621</v>
      </c>
    </row>
    <row r="11" spans="1:14" x14ac:dyDescent="0.2">
      <c r="A11" s="18" t="s">
        <v>76</v>
      </c>
      <c r="B11" s="21">
        <f>'balance sheet'!C22-'balance sheet'!B22</f>
        <v>6537.3630500000008</v>
      </c>
      <c r="C11" s="21">
        <f>'balance sheet'!D22-'balance sheet'!C22</f>
        <v>406.71848649999993</v>
      </c>
      <c r="D11" s="21">
        <f>'balance sheet'!E22-'balance sheet'!D22</f>
        <v>456.10173420500087</v>
      </c>
      <c r="E11" s="21">
        <f>'balance sheet'!F22-'balance sheet'!E22</f>
        <v>332.77547693184988</v>
      </c>
      <c r="F11" s="21">
        <f>'balance sheet'!G22-'balance sheet'!F22</f>
        <v>389.28583671620436</v>
      </c>
      <c r="G11" s="21">
        <f>'balance sheet'!H22-'balance sheet'!G22</f>
        <v>758.28237430541867</v>
      </c>
      <c r="H11" s="21">
        <f>'balance sheet'!I22-'balance sheet'!H22</f>
        <v>252.53847453683557</v>
      </c>
      <c r="I11" s="21">
        <f>'balance sheet'!J22-'balance sheet'!I22</f>
        <v>577.97579275795397</v>
      </c>
      <c r="J11" s="21">
        <f>'balance sheet'!K22-'balance sheet'!J22</f>
        <v>291.95877404673593</v>
      </c>
      <c r="K11" s="21">
        <f>'balance sheet'!L22-'balance sheet'!K22</f>
        <v>1236</v>
      </c>
      <c r="L11" s="21">
        <f>'balance sheet'!M22-'balance sheet'!L22</f>
        <v>-1453</v>
      </c>
      <c r="M11" s="21">
        <f>'balance sheet'!N22-'balance sheet'!M22</f>
        <v>0</v>
      </c>
      <c r="N11" s="21">
        <f>'balance sheet'!O22-'balance sheet'!N22</f>
        <v>0</v>
      </c>
    </row>
    <row r="12" spans="1:14" ht="16.5" customHeight="1" x14ac:dyDescent="0.2">
      <c r="A12" s="15" t="s">
        <v>77</v>
      </c>
      <c r="B12" s="31">
        <f t="shared" ref="B12:I12" si="0">SUM(B3:B11)</f>
        <v>59243.26060627697</v>
      </c>
      <c r="C12" s="31">
        <f t="shared" si="0"/>
        <v>52511.299141803014</v>
      </c>
      <c r="D12" s="31">
        <f t="shared" si="0"/>
        <v>48743.348439177928</v>
      </c>
      <c r="E12" s="31">
        <f t="shared" si="0"/>
        <v>54248.226155445038</v>
      </c>
      <c r="F12" s="31">
        <f t="shared" si="0"/>
        <v>52820.53716494632</v>
      </c>
      <c r="G12" s="31">
        <f t="shared" si="0"/>
        <v>80700.619214768318</v>
      </c>
      <c r="H12" s="31">
        <f t="shared" si="0"/>
        <v>80716.985149833476</v>
      </c>
      <c r="I12" s="31">
        <f t="shared" si="0"/>
        <v>92278.168778251595</v>
      </c>
      <c r="J12" s="31">
        <f t="shared" ref="J12" si="1">SUM(J3:J11)</f>
        <v>67705.868125578374</v>
      </c>
      <c r="K12" s="31">
        <f t="shared" ref="K12" si="2">SUM(K3:K11)</f>
        <v>66266.601597751622</v>
      </c>
      <c r="L12" s="31">
        <f t="shared" ref="L12:N12" si="3">SUM(L3:L11)</f>
        <v>26718.192444067252</v>
      </c>
      <c r="M12" s="31">
        <f t="shared" si="3"/>
        <v>82594.960621823018</v>
      </c>
      <c r="N12" s="31">
        <f t="shared" si="3"/>
        <v>90903.317129132731</v>
      </c>
    </row>
    <row r="13" spans="1:14" x14ac:dyDescent="0.2">
      <c r="A13" t="s">
        <v>78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spans="1:14" x14ac:dyDescent="0.2">
      <c r="A14" s="7" t="s">
        <v>85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5" spans="1:14" x14ac:dyDescent="0.2">
      <c r="A15" s="7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</row>
    <row r="16" spans="1:14" x14ac:dyDescent="0.2">
      <c r="A16" s="18" t="s">
        <v>49</v>
      </c>
      <c r="B16" s="21">
        <f>('balance sheet'!B7)-('balance sheet'!C7)</f>
        <v>-63000</v>
      </c>
      <c r="C16" s="21">
        <f>('balance sheet'!C7)-('balance sheet'!D7)</f>
        <v>-66150</v>
      </c>
      <c r="D16" s="21">
        <f>('balance sheet'!D7)-('balance sheet'!E7)</f>
        <v>0</v>
      </c>
      <c r="E16" s="21">
        <f>('balance sheet'!E7)-('balance sheet'!F7)</f>
        <v>0</v>
      </c>
      <c r="F16" s="21">
        <f>('balance sheet'!F7)-('balance sheet'!G7)</f>
        <v>0</v>
      </c>
      <c r="G16" s="21">
        <f>('balance sheet'!G7)-('balance sheet'!H7)</f>
        <v>-69457.5</v>
      </c>
      <c r="H16" s="21">
        <f>('balance sheet'!H7)-('balance sheet'!I7)</f>
        <v>0</v>
      </c>
      <c r="I16" s="21">
        <f>('balance sheet'!I7)-('balance sheet'!J7)</f>
        <v>-96937.5</v>
      </c>
      <c r="J16" s="21">
        <f>('balance sheet'!J7)-('balance sheet'!K7)</f>
        <v>0</v>
      </c>
      <c r="K16" s="21">
        <f>('balance sheet'!K7)-('balance sheet'!L7)</f>
        <v>-11346</v>
      </c>
      <c r="L16" s="21">
        <f>('balance sheet'!L7)-('balance sheet'!M7)</f>
        <v>0</v>
      </c>
      <c r="M16" s="21">
        <f>('balance sheet'!M7)-('balance sheet'!N7)</f>
        <v>0</v>
      </c>
      <c r="N16" s="21">
        <f>('balance sheet'!N7)-('balance sheet'!O7)</f>
        <v>0</v>
      </c>
    </row>
    <row r="17" spans="1:14" ht="16" x14ac:dyDescent="0.2">
      <c r="A17" s="15" t="s">
        <v>79</v>
      </c>
      <c r="B17" s="31">
        <f>SUM(B16)</f>
        <v>-63000</v>
      </c>
      <c r="C17" s="31">
        <f>SUM(C16)</f>
        <v>-66150</v>
      </c>
      <c r="D17" s="31">
        <f>SUM(D16)</f>
        <v>0</v>
      </c>
      <c r="E17" s="31">
        <f t="shared" ref="E17:I17" si="4">SUM(E16)</f>
        <v>0</v>
      </c>
      <c r="F17" s="31">
        <f t="shared" si="4"/>
        <v>0</v>
      </c>
      <c r="G17" s="31">
        <f t="shared" si="4"/>
        <v>-69457.5</v>
      </c>
      <c r="H17" s="31">
        <f t="shared" si="4"/>
        <v>0</v>
      </c>
      <c r="I17" s="31">
        <f t="shared" si="4"/>
        <v>-96937.5</v>
      </c>
      <c r="J17" s="31">
        <f t="shared" ref="J17:L17" si="5">SUM(J16)</f>
        <v>0</v>
      </c>
      <c r="K17" s="31">
        <f t="shared" si="5"/>
        <v>-11346</v>
      </c>
      <c r="L17" s="31">
        <f t="shared" si="5"/>
        <v>0</v>
      </c>
      <c r="M17" s="31">
        <f t="shared" ref="M17:N17" si="6">SUM(M16)</f>
        <v>0</v>
      </c>
      <c r="N17" s="31">
        <f t="shared" si="6"/>
        <v>0</v>
      </c>
    </row>
    <row r="18" spans="1:14" x14ac:dyDescent="0.2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</row>
    <row r="19" spans="1:14" x14ac:dyDescent="0.2"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4" x14ac:dyDescent="0.2">
      <c r="A20" s="7" t="s">
        <v>86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x14ac:dyDescent="0.2"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4" x14ac:dyDescent="0.2">
      <c r="A22" s="18" t="s">
        <v>80</v>
      </c>
      <c r="B22" s="21">
        <f>'balance sheet'!C27-'balance sheet'!B27</f>
        <v>0</v>
      </c>
      <c r="C22" s="21">
        <f>'balance sheet'!D27-'balance sheet'!C27</f>
        <v>0</v>
      </c>
      <c r="D22" s="21">
        <f>'balance sheet'!E27-'balance sheet'!D27</f>
        <v>0</v>
      </c>
      <c r="E22" s="21">
        <f>'balance sheet'!F27-'balance sheet'!E27</f>
        <v>0</v>
      </c>
      <c r="F22" s="21">
        <f>'balance sheet'!G27-'balance sheet'!F27</f>
        <v>0</v>
      </c>
      <c r="G22" s="21">
        <f>'balance sheet'!H27-'balance sheet'!G27</f>
        <v>0</v>
      </c>
      <c r="H22" s="21">
        <f>'balance sheet'!I27-'balance sheet'!H27</f>
        <v>-50000</v>
      </c>
      <c r="I22" s="21">
        <f>'balance sheet'!J27-'balance sheet'!I27</f>
        <v>-50000</v>
      </c>
      <c r="J22" s="21">
        <f>'balance sheet'!K27-'balance sheet'!J27</f>
        <v>0</v>
      </c>
      <c r="K22" s="21">
        <f>'balance sheet'!L27-'balance sheet'!K27</f>
        <v>0</v>
      </c>
      <c r="L22" s="21">
        <f>'balance sheet'!M27-'balance sheet'!L27</f>
        <v>0</v>
      </c>
      <c r="M22" s="21">
        <f>'balance sheet'!N27-'balance sheet'!M27</f>
        <v>0</v>
      </c>
      <c r="N22" s="21">
        <f>'balance sheet'!O27-'balance sheet'!N27</f>
        <v>0</v>
      </c>
    </row>
    <row r="23" spans="1:14" x14ac:dyDescent="0.2">
      <c r="A23" s="18" t="s">
        <v>106</v>
      </c>
      <c r="B23" s="21">
        <f>'balance sheet'!C31-'balance sheet'!B31</f>
        <v>0</v>
      </c>
      <c r="C23" s="21">
        <f>'balance sheet'!D31-'balance sheet'!C31</f>
        <v>0</v>
      </c>
      <c r="D23" s="21">
        <f>'balance sheet'!E31-'balance sheet'!D31</f>
        <v>0</v>
      </c>
      <c r="E23" s="21">
        <f>'balance sheet'!F31-'balance sheet'!E31</f>
        <v>0</v>
      </c>
      <c r="F23" s="21">
        <f>'balance sheet'!G31-'balance sheet'!F31</f>
        <v>0</v>
      </c>
      <c r="G23" s="21">
        <f>'balance sheet'!H31-'balance sheet'!G31</f>
        <v>0</v>
      </c>
      <c r="H23" s="21">
        <f>'balance sheet'!I31-'balance sheet'!H31</f>
        <v>0</v>
      </c>
      <c r="I23" s="21">
        <f>'balance sheet'!J31-'balance sheet'!I31</f>
        <v>0</v>
      </c>
      <c r="J23" s="21">
        <f>'balance sheet'!K31-'balance sheet'!J31</f>
        <v>0</v>
      </c>
      <c r="K23" s="21">
        <f>'balance sheet'!L31-'balance sheet'!K31</f>
        <v>0</v>
      </c>
      <c r="L23" s="21">
        <f>'balance sheet'!M31-'balance sheet'!L31</f>
        <v>0</v>
      </c>
      <c r="M23" s="21">
        <f>'balance sheet'!N31-'balance sheet'!M31</f>
        <v>0</v>
      </c>
      <c r="N23" s="21">
        <f>'balance sheet'!O31-'balance sheet'!N31</f>
        <v>0</v>
      </c>
    </row>
    <row r="24" spans="1:14" x14ac:dyDescent="0.2">
      <c r="A24" s="16" t="s">
        <v>81</v>
      </c>
      <c r="B24" s="31">
        <f t="shared" ref="B24:I24" si="7">SUM(B22:B23)</f>
        <v>0</v>
      </c>
      <c r="C24" s="31">
        <f t="shared" si="7"/>
        <v>0</v>
      </c>
      <c r="D24" s="31">
        <f t="shared" si="7"/>
        <v>0</v>
      </c>
      <c r="E24" s="31">
        <f t="shared" si="7"/>
        <v>0</v>
      </c>
      <c r="F24" s="31">
        <f t="shared" si="7"/>
        <v>0</v>
      </c>
      <c r="G24" s="31">
        <f t="shared" si="7"/>
        <v>0</v>
      </c>
      <c r="H24" s="31">
        <f t="shared" si="7"/>
        <v>-50000</v>
      </c>
      <c r="I24" s="31">
        <f t="shared" si="7"/>
        <v>-50000</v>
      </c>
      <c r="J24" s="31">
        <f t="shared" ref="J24" si="8">SUM(J22:J23)</f>
        <v>0</v>
      </c>
      <c r="K24" s="31">
        <f t="shared" ref="K24" si="9">SUM(K22:K23)</f>
        <v>0</v>
      </c>
      <c r="L24" s="31">
        <f t="shared" ref="L24:N24" si="10">SUM(L22:L23)</f>
        <v>0</v>
      </c>
      <c r="M24" s="31">
        <f t="shared" si="10"/>
        <v>0</v>
      </c>
      <c r="N24" s="31">
        <f t="shared" si="10"/>
        <v>0</v>
      </c>
    </row>
    <row r="25" spans="1:14" x14ac:dyDescent="0.2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</row>
    <row r="26" spans="1:14" ht="16" thickBot="1" x14ac:dyDescent="0.25">
      <c r="A26" s="10" t="s">
        <v>87</v>
      </c>
      <c r="B26" s="26">
        <f t="shared" ref="B26:I26" si="11">B12+B17+B24</f>
        <v>-3756.7393937230299</v>
      </c>
      <c r="C26" s="26">
        <f t="shared" si="11"/>
        <v>-13638.700858196986</v>
      </c>
      <c r="D26" s="26">
        <f t="shared" si="11"/>
        <v>48743.348439177928</v>
      </c>
      <c r="E26" s="26">
        <f t="shared" si="11"/>
        <v>54248.226155445038</v>
      </c>
      <c r="F26" s="26">
        <f t="shared" si="11"/>
        <v>52820.53716494632</v>
      </c>
      <c r="G26" s="26">
        <f t="shared" si="11"/>
        <v>11243.119214768318</v>
      </c>
      <c r="H26" s="26">
        <f t="shared" si="11"/>
        <v>30716.985149833476</v>
      </c>
      <c r="I26" s="26">
        <f t="shared" si="11"/>
        <v>-54659.331221748405</v>
      </c>
      <c r="J26" s="26">
        <f t="shared" ref="J26:L26" si="12">J12+J17+J24</f>
        <v>67705.868125578374</v>
      </c>
      <c r="K26" s="26">
        <f t="shared" si="12"/>
        <v>54920.601597751622</v>
      </c>
      <c r="L26" s="26">
        <f t="shared" si="12"/>
        <v>26718.192444067252</v>
      </c>
      <c r="M26" s="26">
        <f t="shared" ref="M26:N26" si="13">M12+M17+M24</f>
        <v>82594.960621823018</v>
      </c>
      <c r="N26" s="26">
        <f t="shared" si="13"/>
        <v>90903.317129132731</v>
      </c>
    </row>
    <row r="27" spans="1:14" ht="16" thickTop="1" x14ac:dyDescent="0.2"/>
    <row r="28" spans="1:14" s="33" customFormat="1" x14ac:dyDescent="0.2">
      <c r="A28" s="33" t="s">
        <v>102</v>
      </c>
      <c r="B28" s="35">
        <f>+'balance sheet'!C14-'balance sheet'!B14-B26</f>
        <v>-1.673470251262188E-10</v>
      </c>
      <c r="C28" s="35">
        <f>+'balance sheet'!D14-'balance sheet'!C14-C26</f>
        <v>2.7648638933897018E-10</v>
      </c>
      <c r="D28" s="35">
        <f>+'balance sheet'!E14-'balance sheet'!D14-D26</f>
        <v>-1.964508555829525E-10</v>
      </c>
      <c r="E28" s="35">
        <f>+'balance sheet'!F14-'balance sheet'!E14-E26</f>
        <v>1.7462298274040222E-10</v>
      </c>
      <c r="F28" s="35">
        <f>+'balance sheet'!G14-'balance sheet'!F14-F26</f>
        <v>0</v>
      </c>
      <c r="G28" s="35">
        <f>+'balance sheet'!H14-'balance sheet'!G14-G26</f>
        <v>-2.9103830456733704E-11</v>
      </c>
      <c r="H28" s="35">
        <f>+'balance sheet'!I14-'balance sheet'!H14-H26</f>
        <v>-1.0186340659856796E-10</v>
      </c>
      <c r="I28" s="35">
        <f>+'balance sheet'!J14-'balance sheet'!I14-I26</f>
        <v>0</v>
      </c>
      <c r="J28" s="35">
        <f>+'balance sheet'!K14-'balance sheet'!J14-J26</f>
        <v>0</v>
      </c>
      <c r="K28" s="35">
        <f>+'balance sheet'!L14-'balance sheet'!K14-K26</f>
        <v>-1.3096723705530167E-10</v>
      </c>
      <c r="L28" s="35">
        <f>+'balance sheet'!M14-'balance sheet'!L14-L26</f>
        <v>-3.637978807091713E-11</v>
      </c>
      <c r="M28" s="35">
        <f>+'balance sheet'!N14-'balance sheet'!M14-M26</f>
        <v>3.0559021979570389E-10</v>
      </c>
      <c r="N28" s="35">
        <f>+'balance sheet'!O14-'balance sheet'!N14-N26</f>
        <v>-1.6007106751203537E-10</v>
      </c>
    </row>
    <row r="30" spans="1:14" x14ac:dyDescent="0.2">
      <c r="B30" s="17"/>
      <c r="C30" s="17"/>
      <c r="D30" s="17"/>
      <c r="E30" s="17"/>
      <c r="F30" s="17"/>
      <c r="G30" s="17"/>
      <c r="H30" s="17"/>
      <c r="I30" s="17"/>
    </row>
    <row r="31" spans="1:14" x14ac:dyDescent="0.2">
      <c r="B31" s="17"/>
      <c r="C31" s="17"/>
      <c r="D31" s="17"/>
      <c r="E31" s="17"/>
      <c r="F31" s="17"/>
      <c r="G31" s="17"/>
      <c r="H31" s="17"/>
      <c r="I31" s="17"/>
    </row>
  </sheetData>
  <mergeCells count="1">
    <mergeCell ref="B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6249A-1FB6-418C-951A-F102081AD037}">
  <dimension ref="A1:P88"/>
  <sheetViews>
    <sheetView showGridLines="0" workbookViewId="0">
      <pane xSplit="2" ySplit="2" topLeftCell="C65" activePane="bottomRight" state="frozen"/>
      <selection pane="topRight" activeCell="C1" sqref="C1"/>
      <selection pane="bottomLeft" activeCell="A3" sqref="A3"/>
      <selection pane="bottomRight" activeCell="C81" sqref="C81:P81"/>
    </sheetView>
  </sheetViews>
  <sheetFormatPr baseColWidth="10" defaultColWidth="8.83203125" defaultRowHeight="15" x14ac:dyDescent="0.2"/>
  <cols>
    <col min="1" max="1" width="35.1640625" bestFit="1" customWidth="1"/>
    <col min="2" max="2" width="11.5" hidden="1" customWidth="1"/>
    <col min="3" max="11" width="11.33203125" bestFit="1" customWidth="1"/>
  </cols>
  <sheetData>
    <row r="1" spans="1:16" x14ac:dyDescent="0.2">
      <c r="C1" s="41" t="s">
        <v>0</v>
      </c>
      <c r="D1" s="41"/>
      <c r="E1" s="41"/>
      <c r="F1" s="41"/>
      <c r="G1" s="41"/>
      <c r="H1" s="41"/>
      <c r="I1" s="41"/>
      <c r="J1" s="41"/>
      <c r="K1" s="41"/>
      <c r="O1" s="7" t="s">
        <v>108</v>
      </c>
    </row>
    <row r="2" spans="1:16" x14ac:dyDescent="0.2">
      <c r="C2" s="1">
        <v>45505</v>
      </c>
      <c r="D2" s="1">
        <v>45536</v>
      </c>
      <c r="E2" s="1">
        <v>45566</v>
      </c>
      <c r="F2" s="1">
        <v>45597</v>
      </c>
      <c r="G2" s="1">
        <v>45627</v>
      </c>
      <c r="H2" s="1">
        <v>45658</v>
      </c>
      <c r="I2" s="1">
        <v>45689</v>
      </c>
      <c r="J2" s="1">
        <v>45717</v>
      </c>
      <c r="K2" s="1">
        <v>45748</v>
      </c>
      <c r="L2" s="1">
        <v>45778</v>
      </c>
      <c r="M2" s="1">
        <v>45809</v>
      </c>
      <c r="N2" s="1">
        <v>45839</v>
      </c>
      <c r="O2" s="1">
        <v>45870</v>
      </c>
      <c r="P2" s="1">
        <v>45901</v>
      </c>
    </row>
    <row r="4" spans="1:16" x14ac:dyDescent="0.2">
      <c r="A4" s="7" t="s">
        <v>1</v>
      </c>
    </row>
    <row r="5" spans="1:16" x14ac:dyDescent="0.2">
      <c r="A5" s="18" t="s">
        <v>82</v>
      </c>
      <c r="B5" s="3">
        <v>20000</v>
      </c>
      <c r="C5" s="4">
        <v>24000</v>
      </c>
      <c r="D5" s="4">
        <v>28800</v>
      </c>
      <c r="E5" s="4">
        <v>34560</v>
      </c>
      <c r="F5" s="4">
        <v>41472</v>
      </c>
      <c r="G5" s="4">
        <v>49766.400000000001</v>
      </c>
      <c r="H5" s="4">
        <v>59719.68</v>
      </c>
      <c r="I5" s="4">
        <v>71663.615999999995</v>
      </c>
      <c r="J5" s="4">
        <v>85996.339199999988</v>
      </c>
      <c r="K5" s="4">
        <v>82999</v>
      </c>
      <c r="L5" s="4">
        <v>75001</v>
      </c>
      <c r="M5" s="4">
        <v>73986</v>
      </c>
      <c r="N5" s="4">
        <v>70666</v>
      </c>
      <c r="O5" s="4">
        <v>85996.339199999988</v>
      </c>
      <c r="P5" s="4">
        <v>82999</v>
      </c>
    </row>
    <row r="6" spans="1:16" x14ac:dyDescent="0.2">
      <c r="A6" s="18" t="s">
        <v>2</v>
      </c>
      <c r="B6" s="3">
        <v>150000</v>
      </c>
      <c r="C6" s="4">
        <v>160507</v>
      </c>
      <c r="D6" s="4">
        <v>171735</v>
      </c>
      <c r="E6" s="4">
        <v>183756</v>
      </c>
      <c r="F6" s="4">
        <v>196619</v>
      </c>
      <c r="G6" s="4">
        <v>210382</v>
      </c>
      <c r="H6" s="4">
        <v>225109</v>
      </c>
      <c r="I6" s="4">
        <v>240867</v>
      </c>
      <c r="J6" s="4">
        <v>257727</v>
      </c>
      <c r="K6" s="4">
        <v>290650</v>
      </c>
      <c r="L6" s="4">
        <v>265998</v>
      </c>
      <c r="M6" s="4">
        <v>260469</v>
      </c>
      <c r="N6" s="4">
        <v>254897</v>
      </c>
      <c r="O6" s="4">
        <v>257727</v>
      </c>
      <c r="P6" s="4">
        <v>290650</v>
      </c>
    </row>
    <row r="7" spans="1:16" x14ac:dyDescent="0.2">
      <c r="A7" s="18" t="s">
        <v>3</v>
      </c>
      <c r="B7" s="3">
        <v>300000</v>
      </c>
      <c r="C7" s="4">
        <v>315005</v>
      </c>
      <c r="D7" s="4">
        <v>330751</v>
      </c>
      <c r="E7" s="4">
        <v>347287</v>
      </c>
      <c r="F7" s="4">
        <v>364651</v>
      </c>
      <c r="G7" s="4">
        <v>382884</v>
      </c>
      <c r="H7" s="4">
        <v>402028</v>
      </c>
      <c r="I7" s="4">
        <v>422130</v>
      </c>
      <c r="J7" s="4">
        <v>443236</v>
      </c>
      <c r="K7" s="4">
        <v>460280</v>
      </c>
      <c r="L7" s="4">
        <v>456239</v>
      </c>
      <c r="M7" s="4">
        <v>449236</v>
      </c>
      <c r="N7" s="4">
        <v>435931</v>
      </c>
      <c r="O7" s="4">
        <v>443236</v>
      </c>
      <c r="P7" s="4">
        <v>460280</v>
      </c>
    </row>
    <row r="8" spans="1:16" x14ac:dyDescent="0.2">
      <c r="A8" s="8" t="s">
        <v>4</v>
      </c>
      <c r="B8" s="9">
        <f t="shared" ref="B8" si="0">SUM(B5:B7)</f>
        <v>470000</v>
      </c>
      <c r="C8" s="9">
        <f t="shared" ref="C8:K8" si="1">SUM(C5:C7)</f>
        <v>499512</v>
      </c>
      <c r="D8" s="9">
        <f t="shared" si="1"/>
        <v>531286</v>
      </c>
      <c r="E8" s="9">
        <f t="shared" si="1"/>
        <v>565603</v>
      </c>
      <c r="F8" s="9">
        <f t="shared" si="1"/>
        <v>602742</v>
      </c>
      <c r="G8" s="9">
        <f t="shared" si="1"/>
        <v>643032.4</v>
      </c>
      <c r="H8" s="9">
        <f t="shared" si="1"/>
        <v>686856.67999999993</v>
      </c>
      <c r="I8" s="9">
        <f t="shared" si="1"/>
        <v>734660.61599999992</v>
      </c>
      <c r="J8" s="9">
        <f t="shared" si="1"/>
        <v>786959.33920000005</v>
      </c>
      <c r="K8" s="9">
        <f t="shared" si="1"/>
        <v>833929</v>
      </c>
      <c r="L8" s="9">
        <f t="shared" ref="L8:P8" si="2">SUM(L5:L7)</f>
        <v>797238</v>
      </c>
      <c r="M8" s="9">
        <f t="shared" si="2"/>
        <v>783691</v>
      </c>
      <c r="N8" s="9">
        <f t="shared" si="2"/>
        <v>761494</v>
      </c>
      <c r="O8" s="9">
        <f t="shared" si="2"/>
        <v>786959.33920000005</v>
      </c>
      <c r="P8" s="9">
        <f t="shared" si="2"/>
        <v>833929</v>
      </c>
    </row>
    <row r="9" spans="1:16" x14ac:dyDescent="0.2">
      <c r="B9" s="4"/>
      <c r="C9" s="4"/>
      <c r="D9" s="5">
        <f>+D8/C8-1</f>
        <v>6.3610083441438814E-2</v>
      </c>
      <c r="E9" s="5">
        <f t="shared" ref="E9:K9" si="3">+E8/D8-1</f>
        <v>6.4592328802189458E-2</v>
      </c>
      <c r="F9" s="5">
        <f t="shared" si="3"/>
        <v>6.5662664448385089E-2</v>
      </c>
      <c r="G9" s="5">
        <f t="shared" si="3"/>
        <v>6.6845184174987082E-2</v>
      </c>
      <c r="H9" s="5">
        <f t="shared" si="3"/>
        <v>6.8152522330134468E-2</v>
      </c>
      <c r="I9" s="5">
        <f t="shared" si="3"/>
        <v>6.9598123439667203E-2</v>
      </c>
      <c r="J9" s="5">
        <f t="shared" si="3"/>
        <v>7.1187596096753403E-2</v>
      </c>
      <c r="K9" s="5">
        <f t="shared" si="3"/>
        <v>5.9684990647353997E-2</v>
      </c>
      <c r="L9" s="5">
        <f t="shared" ref="L9" si="4">+L8/K8-1</f>
        <v>-4.3997750408008351E-2</v>
      </c>
      <c r="M9" s="5">
        <f t="shared" ref="M9" si="5">+M8/L8-1</f>
        <v>-1.6992416317335612E-2</v>
      </c>
      <c r="N9" s="5">
        <f t="shared" ref="N9" si="6">+N8/M8-1</f>
        <v>-2.8323663280553135E-2</v>
      </c>
      <c r="O9" s="5">
        <f t="shared" ref="O9" si="7">+O8/N8-1</f>
        <v>3.3441286733710385E-2</v>
      </c>
      <c r="P9" s="5">
        <f t="shared" ref="P9" si="8">+P8/O8-1</f>
        <v>5.9684990647353997E-2</v>
      </c>
    </row>
    <row r="10" spans="1:16" x14ac:dyDescent="0.2">
      <c r="A10" s="7" t="s">
        <v>5</v>
      </c>
    </row>
    <row r="11" spans="1:16" x14ac:dyDescent="0.2">
      <c r="A11" s="18" t="s">
        <v>6</v>
      </c>
      <c r="B11" s="3">
        <v>10000</v>
      </c>
      <c r="C11" s="2">
        <v>10000</v>
      </c>
      <c r="D11" s="2">
        <v>0</v>
      </c>
      <c r="E11" s="2">
        <v>5000</v>
      </c>
      <c r="F11" s="2">
        <v>12000</v>
      </c>
      <c r="G11" s="2">
        <v>5000</v>
      </c>
      <c r="H11" s="2">
        <v>0</v>
      </c>
      <c r="I11" s="2">
        <v>25000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</row>
    <row r="12" spans="1:16" x14ac:dyDescent="0.2">
      <c r="A12" s="8" t="s">
        <v>7</v>
      </c>
      <c r="B12" s="9">
        <f>SUM(B11)</f>
        <v>10000</v>
      </c>
      <c r="C12" s="9">
        <f t="shared" ref="C12:K12" si="9">SUM(C11)</f>
        <v>10000</v>
      </c>
      <c r="D12" s="9">
        <f t="shared" si="9"/>
        <v>0</v>
      </c>
      <c r="E12" s="9">
        <f t="shared" si="9"/>
        <v>5000</v>
      </c>
      <c r="F12" s="9">
        <f t="shared" si="9"/>
        <v>12000</v>
      </c>
      <c r="G12" s="9">
        <f t="shared" si="9"/>
        <v>5000</v>
      </c>
      <c r="H12" s="9">
        <f t="shared" si="9"/>
        <v>0</v>
      </c>
      <c r="I12" s="9">
        <f t="shared" si="9"/>
        <v>25000</v>
      </c>
      <c r="J12" s="9">
        <f t="shared" si="9"/>
        <v>0</v>
      </c>
      <c r="K12" s="9">
        <f t="shared" si="9"/>
        <v>0</v>
      </c>
      <c r="L12" s="9">
        <f t="shared" ref="L12:P12" si="10">SUM(L11)</f>
        <v>0</v>
      </c>
      <c r="M12" s="9">
        <f t="shared" si="10"/>
        <v>0</v>
      </c>
      <c r="N12" s="9">
        <f t="shared" si="10"/>
        <v>0</v>
      </c>
      <c r="O12" s="9">
        <f t="shared" si="10"/>
        <v>0</v>
      </c>
      <c r="P12" s="9">
        <f t="shared" si="10"/>
        <v>0</v>
      </c>
    </row>
    <row r="13" spans="1:16" ht="16" customHeight="1" x14ac:dyDescent="0.2"/>
    <row r="15" spans="1:16" ht="16" thickBot="1" x14ac:dyDescent="0.25">
      <c r="A15" s="10" t="s">
        <v>8</v>
      </c>
      <c r="B15" s="11">
        <f>B12+B8</f>
        <v>480000</v>
      </c>
      <c r="C15" s="11">
        <f>C12+C8</f>
        <v>509512</v>
      </c>
      <c r="D15" s="11">
        <f t="shared" ref="D15:K15" si="11">D12+D8</f>
        <v>531286</v>
      </c>
      <c r="E15" s="11">
        <f t="shared" si="11"/>
        <v>570603</v>
      </c>
      <c r="F15" s="11">
        <f t="shared" si="11"/>
        <v>614742</v>
      </c>
      <c r="G15" s="11">
        <f t="shared" si="11"/>
        <v>648032.4</v>
      </c>
      <c r="H15" s="11">
        <f t="shared" si="11"/>
        <v>686856.67999999993</v>
      </c>
      <c r="I15" s="11">
        <f t="shared" si="11"/>
        <v>759660.61599999992</v>
      </c>
      <c r="J15" s="11">
        <f t="shared" si="11"/>
        <v>786959.33920000005</v>
      </c>
      <c r="K15" s="11">
        <f t="shared" si="11"/>
        <v>833929</v>
      </c>
      <c r="L15" s="11">
        <f t="shared" ref="L15:P15" si="12">L12+L8</f>
        <v>797238</v>
      </c>
      <c r="M15" s="11">
        <f t="shared" si="12"/>
        <v>783691</v>
      </c>
      <c r="N15" s="11">
        <f t="shared" si="12"/>
        <v>761494</v>
      </c>
      <c r="O15" s="11">
        <f t="shared" si="12"/>
        <v>786959.33920000005</v>
      </c>
      <c r="P15" s="11">
        <f t="shared" si="12"/>
        <v>833929</v>
      </c>
    </row>
    <row r="16" spans="1:16" ht="16" thickTop="1" x14ac:dyDescent="0.2"/>
    <row r="17" spans="1:16" x14ac:dyDescent="0.2">
      <c r="A17" s="7" t="s">
        <v>9</v>
      </c>
    </row>
    <row r="18" spans="1:16" x14ac:dyDescent="0.2">
      <c r="A18" s="18" t="s">
        <v>82</v>
      </c>
      <c r="B18" s="4">
        <v>10000</v>
      </c>
      <c r="C18" s="4">
        <v>12000</v>
      </c>
      <c r="D18" s="4">
        <v>14400</v>
      </c>
      <c r="E18" s="4">
        <v>17280</v>
      </c>
      <c r="F18" s="4">
        <v>20736</v>
      </c>
      <c r="G18" s="4">
        <v>24883.200000000001</v>
      </c>
      <c r="H18" s="4">
        <v>29859.84</v>
      </c>
      <c r="I18" s="4">
        <v>35831.807999999997</v>
      </c>
      <c r="J18" s="4">
        <v>42998.169599999994</v>
      </c>
      <c r="K18" s="4">
        <v>41499.5</v>
      </c>
      <c r="L18" s="4">
        <f>51%*L5</f>
        <v>38250.51</v>
      </c>
      <c r="M18" s="4">
        <f t="shared" ref="M18:N18" si="13">51%*M5</f>
        <v>37732.86</v>
      </c>
      <c r="N18" s="4">
        <f t="shared" si="13"/>
        <v>36039.660000000003</v>
      </c>
      <c r="O18" s="4">
        <v>42998.169599999994</v>
      </c>
      <c r="P18" s="4">
        <v>41499.5</v>
      </c>
    </row>
    <row r="19" spans="1:16" x14ac:dyDescent="0.2">
      <c r="A19" s="18" t="s">
        <v>2</v>
      </c>
      <c r="B19" s="4">
        <v>60000</v>
      </c>
      <c r="C19" s="4">
        <v>64202.8</v>
      </c>
      <c r="D19" s="4">
        <v>68694</v>
      </c>
      <c r="E19" s="4">
        <v>73502.400000000009</v>
      </c>
      <c r="F19" s="4">
        <v>78647.600000000006</v>
      </c>
      <c r="G19" s="4">
        <v>84152.8</v>
      </c>
      <c r="H19" s="4">
        <v>90043.6</v>
      </c>
      <c r="I19" s="4">
        <v>96346.8</v>
      </c>
      <c r="J19" s="4">
        <v>103090.8</v>
      </c>
      <c r="K19" s="4">
        <v>116260</v>
      </c>
      <c r="L19" s="4">
        <f>L6*41%</f>
        <v>109059.18</v>
      </c>
      <c r="M19" s="4">
        <f t="shared" ref="M19:N19" si="14">M6*41%</f>
        <v>106792.29</v>
      </c>
      <c r="N19" s="4">
        <f t="shared" si="14"/>
        <v>104507.76999999999</v>
      </c>
      <c r="O19" s="4">
        <v>103090.8</v>
      </c>
      <c r="P19" s="4">
        <v>116260</v>
      </c>
    </row>
    <row r="20" spans="1:16" x14ac:dyDescent="0.2">
      <c r="A20" s="18" t="s">
        <v>3</v>
      </c>
      <c r="B20" s="4">
        <v>177272.72727272729</v>
      </c>
      <c r="C20" s="4">
        <v>186139.31818181821</v>
      </c>
      <c r="D20" s="4">
        <v>195443.77272727274</v>
      </c>
      <c r="E20" s="4">
        <v>205215.04545454547</v>
      </c>
      <c r="F20" s="4">
        <v>215475.59090909091</v>
      </c>
      <c r="G20" s="4">
        <v>226249.63636363638</v>
      </c>
      <c r="H20" s="4">
        <v>237562</v>
      </c>
      <c r="I20" s="4">
        <v>249440.45454545456</v>
      </c>
      <c r="J20" s="4">
        <v>261912.18181818182</v>
      </c>
      <c r="K20" s="4">
        <v>271983.63636363635</v>
      </c>
      <c r="L20" s="4">
        <f>L7*59%</f>
        <v>269181.01</v>
      </c>
      <c r="M20" s="4">
        <f t="shared" ref="M20" si="15">M7*60%</f>
        <v>269541.59999999998</v>
      </c>
      <c r="N20" s="4">
        <f>N7*61%</f>
        <v>265917.90999999997</v>
      </c>
      <c r="O20" s="4">
        <v>261912.18181818182</v>
      </c>
      <c r="P20" s="4">
        <v>271983.63636363635</v>
      </c>
    </row>
    <row r="21" spans="1:16" x14ac:dyDescent="0.2">
      <c r="A21" s="19" t="s">
        <v>97</v>
      </c>
      <c r="B21" s="17">
        <v>43286.476190476191</v>
      </c>
      <c r="C21" s="17">
        <v>43286.476190476191</v>
      </c>
      <c r="D21" s="17">
        <v>44337.47</v>
      </c>
      <c r="E21" s="17">
        <v>44337.47</v>
      </c>
      <c r="F21" s="17">
        <v>49901.859531249997</v>
      </c>
      <c r="G21" s="17">
        <v>52609.19</v>
      </c>
      <c r="H21" s="17">
        <v>55778.296208203123</v>
      </c>
      <c r="I21" s="17">
        <v>53375.46</v>
      </c>
      <c r="J21" s="17">
        <v>53817.979999999989</v>
      </c>
      <c r="K21" s="17">
        <v>54353</v>
      </c>
      <c r="L21" s="17">
        <v>55223</v>
      </c>
      <c r="M21" s="17">
        <v>56497</v>
      </c>
      <c r="N21" s="17">
        <v>57221</v>
      </c>
      <c r="O21" s="17">
        <v>53817.979999999989</v>
      </c>
      <c r="P21" s="17">
        <v>54353</v>
      </c>
    </row>
    <row r="22" spans="1:16" x14ac:dyDescent="0.2">
      <c r="A22" s="18" t="s">
        <v>96</v>
      </c>
      <c r="B22" s="2">
        <v>5000</v>
      </c>
      <c r="C22" s="4">
        <v>6524</v>
      </c>
      <c r="D22" s="4">
        <v>6323.88</v>
      </c>
      <c r="E22" s="4">
        <v>7413.1516000000001</v>
      </c>
      <c r="F22" s="4">
        <v>8767.9302120000011</v>
      </c>
      <c r="G22" s="4">
        <v>9127.4498268400021</v>
      </c>
      <c r="H22" s="4">
        <v>9794.6803597188027</v>
      </c>
      <c r="I22" s="4">
        <v>13037.068066149117</v>
      </c>
      <c r="J22" s="4">
        <v>12487.423616892056</v>
      </c>
      <c r="K22" s="4">
        <v>14184.987336452623</v>
      </c>
      <c r="L22" s="4">
        <v>13896</v>
      </c>
      <c r="M22" s="4">
        <v>14002</v>
      </c>
      <c r="N22" s="4">
        <v>14555</v>
      </c>
      <c r="O22" s="4">
        <v>12487.423616892056</v>
      </c>
      <c r="P22" s="4">
        <v>14184.987336452623</v>
      </c>
    </row>
    <row r="23" spans="1:16" x14ac:dyDescent="0.2">
      <c r="A23" s="18" t="s">
        <v>10</v>
      </c>
      <c r="B23" s="2">
        <v>3000</v>
      </c>
      <c r="C23" s="4">
        <v>4077.5</v>
      </c>
      <c r="D23" s="4">
        <v>3952.4250000000002</v>
      </c>
      <c r="E23" s="4">
        <v>4633.2197500000002</v>
      </c>
      <c r="F23" s="4">
        <v>5479.9563825000005</v>
      </c>
      <c r="G23" s="4">
        <v>5704.6561417750017</v>
      </c>
      <c r="H23" s="4">
        <v>6121.6752248242519</v>
      </c>
      <c r="I23" s="4">
        <v>8148.1675413431985</v>
      </c>
      <c r="J23" s="4">
        <v>7804.6397605575348</v>
      </c>
      <c r="K23" s="4">
        <v>8865.6170852828891</v>
      </c>
      <c r="L23" s="4">
        <v>9555</v>
      </c>
      <c r="M23" s="4">
        <v>8956</v>
      </c>
      <c r="N23" s="4">
        <v>9002</v>
      </c>
      <c r="O23" s="4">
        <v>7804.6397605575348</v>
      </c>
      <c r="P23" s="4">
        <v>8865.6170852828891</v>
      </c>
    </row>
    <row r="24" spans="1:16" x14ac:dyDescent="0.2">
      <c r="A24" s="18" t="s">
        <v>11</v>
      </c>
      <c r="B24" s="2">
        <v>1500</v>
      </c>
      <c r="C24" s="4">
        <v>2446.5</v>
      </c>
      <c r="D24" s="4">
        <v>2371.4549999999999</v>
      </c>
      <c r="E24" s="4">
        <v>2779.9318499999999</v>
      </c>
      <c r="F24" s="4">
        <v>3287.9738295000002</v>
      </c>
      <c r="G24" s="4">
        <v>3422.7936850650003</v>
      </c>
      <c r="H24" s="4">
        <v>3673.0051348945508</v>
      </c>
      <c r="I24" s="4">
        <v>4888.9005248059184</v>
      </c>
      <c r="J24" s="4">
        <v>4682.7838563345204</v>
      </c>
      <c r="K24" s="4">
        <v>5319.3702511697329</v>
      </c>
      <c r="L24" s="4">
        <v>5400</v>
      </c>
      <c r="M24" s="4">
        <v>5521</v>
      </c>
      <c r="N24" s="4">
        <v>5320</v>
      </c>
      <c r="O24" s="4">
        <v>4682.7838563345204</v>
      </c>
      <c r="P24" s="4">
        <v>5319.3702511697329</v>
      </c>
    </row>
    <row r="25" spans="1:16" x14ac:dyDescent="0.2">
      <c r="A25" s="18" t="s">
        <v>12</v>
      </c>
      <c r="B25" s="2">
        <v>3500</v>
      </c>
      <c r="C25" s="4">
        <v>2446.5</v>
      </c>
      <c r="D25" s="4">
        <v>2371.4549999999999</v>
      </c>
      <c r="E25" s="4">
        <v>2779.9318499999999</v>
      </c>
      <c r="F25" s="4">
        <v>3287.9738295000002</v>
      </c>
      <c r="G25" s="4">
        <v>3422.7936850650003</v>
      </c>
      <c r="H25" s="4">
        <v>3673.0051348945508</v>
      </c>
      <c r="I25" s="4">
        <v>4888.9005248059184</v>
      </c>
      <c r="J25" s="4">
        <v>4682.7838563345204</v>
      </c>
      <c r="K25" s="4">
        <v>5319.3702511697329</v>
      </c>
      <c r="L25" s="4">
        <v>4888.9005248059184</v>
      </c>
      <c r="M25" s="4">
        <v>4682.7838563345204</v>
      </c>
      <c r="N25" s="4">
        <v>4999</v>
      </c>
      <c r="O25" s="4">
        <v>4682.7838563345204</v>
      </c>
      <c r="P25" s="4">
        <v>5319.3702511697329</v>
      </c>
    </row>
    <row r="26" spans="1:16" x14ac:dyDescent="0.2">
      <c r="A26" s="8" t="s">
        <v>13</v>
      </c>
      <c r="B26" s="12">
        <f>SUM(B18:B25)</f>
        <v>303559.20346320351</v>
      </c>
      <c r="C26" s="12">
        <f>SUM(C18:C25)</f>
        <v>321123.09437229444</v>
      </c>
      <c r="D26" s="12">
        <f t="shared" ref="D26:K26" si="16">SUM(D18:D25)</f>
        <v>337894.4577272727</v>
      </c>
      <c r="E26" s="12">
        <f t="shared" si="16"/>
        <v>357941.15050454548</v>
      </c>
      <c r="F26" s="12">
        <f t="shared" si="16"/>
        <v>385584.88469384093</v>
      </c>
      <c r="G26" s="12">
        <f t="shared" si="16"/>
        <v>409572.5197023814</v>
      </c>
      <c r="H26" s="12">
        <f t="shared" si="16"/>
        <v>436506.1020625353</v>
      </c>
      <c r="I26" s="12">
        <f t="shared" si="16"/>
        <v>465957.55920255883</v>
      </c>
      <c r="J26" s="12">
        <f t="shared" si="16"/>
        <v>491476.76250830048</v>
      </c>
      <c r="K26" s="12">
        <f t="shared" si="16"/>
        <v>517785.4812877113</v>
      </c>
      <c r="L26" s="12">
        <f t="shared" ref="L26:P26" si="17">SUM(L18:L25)</f>
        <v>505453.60052480595</v>
      </c>
      <c r="M26" s="12">
        <f t="shared" si="17"/>
        <v>503725.53385633451</v>
      </c>
      <c r="N26" s="12">
        <f t="shared" si="17"/>
        <v>497562.33999999997</v>
      </c>
      <c r="O26" s="12">
        <f t="shared" si="17"/>
        <v>491476.76250830048</v>
      </c>
      <c r="P26" s="12">
        <f t="shared" si="17"/>
        <v>517785.4812877113</v>
      </c>
    </row>
    <row r="28" spans="1:16" x14ac:dyDescent="0.2">
      <c r="A28" s="13" t="s">
        <v>14</v>
      </c>
      <c r="B28" s="4">
        <f>B15-B26</f>
        <v>176440.79653679649</v>
      </c>
      <c r="C28" s="4">
        <f>C15-C26</f>
        <v>188388.90562770556</v>
      </c>
      <c r="D28" s="4">
        <f t="shared" ref="D28:K28" si="18">D15-D26</f>
        <v>193391.5422727273</v>
      </c>
      <c r="E28" s="4">
        <f t="shared" si="18"/>
        <v>212661.84949545452</v>
      </c>
      <c r="F28" s="4">
        <f t="shared" si="18"/>
        <v>229157.11530615907</v>
      </c>
      <c r="G28" s="4">
        <f t="shared" si="18"/>
        <v>238459.88029761863</v>
      </c>
      <c r="H28" s="4">
        <f t="shared" si="18"/>
        <v>250350.57793746464</v>
      </c>
      <c r="I28" s="4">
        <f t="shared" si="18"/>
        <v>293703.0567974411</v>
      </c>
      <c r="J28" s="4">
        <f t="shared" si="18"/>
        <v>295482.57669169956</v>
      </c>
      <c r="K28" s="4">
        <f t="shared" si="18"/>
        <v>316143.5187122887</v>
      </c>
      <c r="L28" s="4">
        <f t="shared" ref="L28:P28" si="19">L15-L26</f>
        <v>291784.39947519405</v>
      </c>
      <c r="M28" s="4">
        <f t="shared" si="19"/>
        <v>279965.46614366549</v>
      </c>
      <c r="N28" s="4">
        <f t="shared" si="19"/>
        <v>263931.66000000003</v>
      </c>
      <c r="O28" s="4">
        <f t="shared" si="19"/>
        <v>295482.57669169956</v>
      </c>
      <c r="P28" s="4">
        <f t="shared" si="19"/>
        <v>316143.5187122887</v>
      </c>
    </row>
    <row r="29" spans="1:16" x14ac:dyDescent="0.2">
      <c r="A29" s="13" t="s">
        <v>15</v>
      </c>
      <c r="B29" s="5">
        <f>B28/B15</f>
        <v>0.36758499278499268</v>
      </c>
      <c r="C29" s="5">
        <f>C28/C15</f>
        <v>0.36974380510705451</v>
      </c>
      <c r="D29" s="5">
        <f t="shared" ref="D29:K29" si="20">D28/D15</f>
        <v>0.36400647160423444</v>
      </c>
      <c r="E29" s="5">
        <f t="shared" si="20"/>
        <v>0.37269669016015428</v>
      </c>
      <c r="F29" s="5">
        <f t="shared" si="20"/>
        <v>0.37276957700329416</v>
      </c>
      <c r="G29" s="5">
        <f t="shared" si="20"/>
        <v>0.36797524367241302</v>
      </c>
      <c r="H29" s="5">
        <f t="shared" si="20"/>
        <v>0.36448735992123521</v>
      </c>
      <c r="I29" s="5">
        <f t="shared" si="20"/>
        <v>0.38662404054054728</v>
      </c>
      <c r="J29" s="5">
        <f t="shared" si="20"/>
        <v>0.37547375318282461</v>
      </c>
      <c r="K29" s="5">
        <f t="shared" si="20"/>
        <v>0.37910124088775987</v>
      </c>
      <c r="L29" s="5">
        <f t="shared" ref="L29:P29" si="21">L28/L15</f>
        <v>0.36599409395336657</v>
      </c>
      <c r="M29" s="5">
        <f t="shared" si="21"/>
        <v>0.35723960865145254</v>
      </c>
      <c r="N29" s="5">
        <f t="shared" si="21"/>
        <v>0.34659716294547305</v>
      </c>
      <c r="O29" s="5">
        <f t="shared" si="21"/>
        <v>0.37547375318282461</v>
      </c>
      <c r="P29" s="5">
        <f t="shared" si="21"/>
        <v>0.37910124088775987</v>
      </c>
    </row>
    <row r="31" spans="1:16" x14ac:dyDescent="0.2">
      <c r="A31" s="7" t="s">
        <v>16</v>
      </c>
    </row>
    <row r="32" spans="1:16" x14ac:dyDescent="0.2"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</row>
    <row r="33" spans="1:16" x14ac:dyDescent="0.2">
      <c r="A33" s="7" t="s">
        <v>17</v>
      </c>
    </row>
    <row r="34" spans="1:16" x14ac:dyDescent="0.2">
      <c r="A34" s="18" t="s">
        <v>18</v>
      </c>
      <c r="B34" s="2">
        <v>7000</v>
      </c>
      <c r="C34" s="17">
        <v>8155</v>
      </c>
      <c r="D34" s="2">
        <v>7904.85</v>
      </c>
      <c r="E34" s="2">
        <v>9266.4395000000004</v>
      </c>
      <c r="F34" s="2">
        <v>10959.912765000001</v>
      </c>
      <c r="G34" s="2">
        <v>11409.312283550003</v>
      </c>
      <c r="H34" s="2">
        <v>12243.350449648504</v>
      </c>
      <c r="I34" s="2">
        <v>16296.335082686397</v>
      </c>
      <c r="J34" s="2">
        <v>15609.27952111507</v>
      </c>
      <c r="K34" s="2">
        <v>17731.234170565778</v>
      </c>
      <c r="L34" s="2">
        <v>17956</v>
      </c>
      <c r="M34" s="2">
        <v>16895</v>
      </c>
      <c r="N34" s="2">
        <v>17511</v>
      </c>
      <c r="O34" s="2">
        <v>15609.27952111507</v>
      </c>
      <c r="P34" s="2">
        <v>17731.234170565778</v>
      </c>
    </row>
    <row r="35" spans="1:16" x14ac:dyDescent="0.2">
      <c r="A35" s="18" t="s">
        <v>19</v>
      </c>
      <c r="B35" s="2">
        <v>3000</v>
      </c>
      <c r="C35" s="17">
        <v>2853</v>
      </c>
      <c r="D35" s="2">
        <v>3014.91</v>
      </c>
      <c r="E35" s="2">
        <v>3186.2637000000004</v>
      </c>
      <c r="F35" s="2">
        <v>3367.6276590000007</v>
      </c>
      <c r="G35" s="2">
        <v>3559.6033701300003</v>
      </c>
      <c r="H35" s="2">
        <v>3762.8294697891006</v>
      </c>
      <c r="I35" s="2">
        <v>3977.9840896118376</v>
      </c>
      <c r="J35" s="2">
        <v>4205.7873606690409</v>
      </c>
      <c r="K35" s="2">
        <v>4447.0040799394683</v>
      </c>
      <c r="L35" s="2">
        <v>4200</v>
      </c>
      <c r="M35" s="2">
        <v>4356</v>
      </c>
      <c r="N35" s="2">
        <v>4233</v>
      </c>
      <c r="O35" s="2">
        <v>4205.7873606690409</v>
      </c>
      <c r="P35" s="2">
        <v>4447.0040799394683</v>
      </c>
    </row>
    <row r="36" spans="1:16" x14ac:dyDescent="0.2">
      <c r="A36" s="8" t="s">
        <v>20</v>
      </c>
      <c r="B36" s="12">
        <f>SUM(B34:B35)</f>
        <v>10000</v>
      </c>
      <c r="C36" s="12">
        <f>SUM(C34:C35)</f>
        <v>11008</v>
      </c>
      <c r="D36" s="12">
        <f t="shared" ref="D36:N36" si="22">SUM(D34:D35)</f>
        <v>10919.76</v>
      </c>
      <c r="E36" s="12">
        <f t="shared" si="22"/>
        <v>12452.7032</v>
      </c>
      <c r="F36" s="12">
        <f t="shared" si="22"/>
        <v>14327.540424000003</v>
      </c>
      <c r="G36" s="12">
        <f t="shared" si="22"/>
        <v>14968.915653680004</v>
      </c>
      <c r="H36" s="12">
        <f t="shared" si="22"/>
        <v>16006.179919437604</v>
      </c>
      <c r="I36" s="12">
        <f t="shared" si="22"/>
        <v>20274.319172298234</v>
      </c>
      <c r="J36" s="12">
        <f t="shared" si="22"/>
        <v>19815.066881784111</v>
      </c>
      <c r="K36" s="12">
        <f t="shared" si="22"/>
        <v>22178.238250505245</v>
      </c>
      <c r="L36" s="12">
        <f t="shared" si="22"/>
        <v>22156</v>
      </c>
      <c r="M36" s="12">
        <f t="shared" si="22"/>
        <v>21251</v>
      </c>
      <c r="N36" s="12">
        <f t="shared" si="22"/>
        <v>21744</v>
      </c>
      <c r="O36" s="12">
        <f t="shared" ref="O36:P36" si="23">SUM(O34:O35)</f>
        <v>19815.066881784111</v>
      </c>
      <c r="P36" s="12">
        <f t="shared" si="23"/>
        <v>22178.238250505245</v>
      </c>
    </row>
    <row r="38" spans="1:16" x14ac:dyDescent="0.2">
      <c r="A38" s="7" t="s">
        <v>21</v>
      </c>
    </row>
    <row r="39" spans="1:16" x14ac:dyDescent="0.2">
      <c r="A39" s="18" t="s">
        <v>22</v>
      </c>
      <c r="B39" s="2">
        <v>16000</v>
      </c>
      <c r="C39" s="2">
        <v>12232.5</v>
      </c>
      <c r="D39" s="2">
        <v>11857.275</v>
      </c>
      <c r="E39" s="2">
        <v>13899.659250000001</v>
      </c>
      <c r="F39" s="2">
        <v>16439.869147500001</v>
      </c>
      <c r="G39" s="2">
        <v>17113.968425325002</v>
      </c>
      <c r="H39" s="2">
        <v>18365.025674472752</v>
      </c>
      <c r="I39" s="2">
        <v>24444.502624029592</v>
      </c>
      <c r="J39" s="2">
        <v>23413.919281672603</v>
      </c>
      <c r="K39" s="2">
        <v>26596.851255848665</v>
      </c>
      <c r="L39" s="2">
        <f>+K39*1.05</f>
        <v>27926.693818641099</v>
      </c>
      <c r="M39" s="2">
        <f t="shared" ref="M39:N39" si="24">+L39*1.05</f>
        <v>29323.028509573156</v>
      </c>
      <c r="N39" s="2">
        <f t="shared" si="24"/>
        <v>30789.179935051816</v>
      </c>
      <c r="O39" s="2">
        <v>23413.919281672603</v>
      </c>
      <c r="P39" s="2">
        <v>26596.851255848665</v>
      </c>
    </row>
    <row r="40" spans="1:16" x14ac:dyDescent="0.2">
      <c r="A40" s="18" t="s">
        <v>23</v>
      </c>
      <c r="B40" s="2">
        <v>17000</v>
      </c>
      <c r="C40" s="2">
        <v>20387.5</v>
      </c>
      <c r="D40" s="2">
        <v>19762.125</v>
      </c>
      <c r="E40" s="2">
        <v>23166.098750000001</v>
      </c>
      <c r="F40" s="2">
        <v>27399.781912500002</v>
      </c>
      <c r="G40" s="2">
        <v>28523.280708875005</v>
      </c>
      <c r="H40" s="2">
        <v>30608.376124121256</v>
      </c>
      <c r="I40" s="2">
        <v>40740.837706715989</v>
      </c>
      <c r="J40" s="2">
        <v>39023.198802787672</v>
      </c>
      <c r="K40" s="2">
        <v>44328.085426414444</v>
      </c>
      <c r="L40" s="2">
        <f>+K40*1.07</f>
        <v>47431.051406263454</v>
      </c>
      <c r="M40" s="2">
        <f t="shared" ref="M40:N40" si="25">+L40*1.07</f>
        <v>50751.225004701897</v>
      </c>
      <c r="N40" s="2">
        <f t="shared" si="25"/>
        <v>54303.810755031031</v>
      </c>
      <c r="O40" s="2">
        <v>39023.198802787672</v>
      </c>
      <c r="P40" s="2">
        <v>44328.085426414444</v>
      </c>
    </row>
    <row r="41" spans="1:16" x14ac:dyDescent="0.2">
      <c r="A41" s="18" t="s">
        <v>24</v>
      </c>
      <c r="B41" s="2">
        <v>2500</v>
      </c>
      <c r="C41" s="2">
        <v>0</v>
      </c>
      <c r="D41" s="2">
        <v>3952.4250000000002</v>
      </c>
      <c r="E41" s="2">
        <v>4633.2197500000002</v>
      </c>
      <c r="F41" s="2">
        <v>5479.9563825000005</v>
      </c>
      <c r="G41" s="2">
        <v>0</v>
      </c>
      <c r="H41" s="2">
        <v>6121.6752248242519</v>
      </c>
      <c r="I41" s="2">
        <v>8148.1675413431985</v>
      </c>
      <c r="J41" s="2">
        <v>7804.6397605575348</v>
      </c>
      <c r="K41" s="2">
        <v>0</v>
      </c>
      <c r="L41" s="2">
        <v>0</v>
      </c>
      <c r="M41" s="2">
        <v>0</v>
      </c>
      <c r="N41" s="2">
        <v>0</v>
      </c>
      <c r="O41" s="2">
        <v>7804.6397605575348</v>
      </c>
      <c r="P41" s="2">
        <v>0</v>
      </c>
    </row>
    <row r="42" spans="1:16" x14ac:dyDescent="0.2">
      <c r="A42" s="8" t="s">
        <v>25</v>
      </c>
      <c r="B42" s="12">
        <f>SUM(B39:B41)</f>
        <v>35500</v>
      </c>
      <c r="C42" s="12">
        <f>SUM(C39:C41)</f>
        <v>32620</v>
      </c>
      <c r="D42" s="12">
        <f t="shared" ref="D42:N42" si="26">SUM(D39:D41)</f>
        <v>35571.825000000004</v>
      </c>
      <c r="E42" s="12">
        <f t="shared" si="26"/>
        <v>41698.977750000005</v>
      </c>
      <c r="F42" s="12">
        <f t="shared" si="26"/>
        <v>49319.607442500004</v>
      </c>
      <c r="G42" s="12">
        <f t="shared" si="26"/>
        <v>45637.249134200007</v>
      </c>
      <c r="H42" s="12">
        <f t="shared" si="26"/>
        <v>55095.077023418256</v>
      </c>
      <c r="I42" s="12">
        <f t="shared" si="26"/>
        <v>73333.507872088783</v>
      </c>
      <c r="J42" s="12">
        <f t="shared" si="26"/>
        <v>70241.757845017812</v>
      </c>
      <c r="K42" s="12">
        <f t="shared" si="26"/>
        <v>70924.936682263113</v>
      </c>
      <c r="L42" s="12">
        <f t="shared" si="26"/>
        <v>75357.74522490456</v>
      </c>
      <c r="M42" s="12">
        <f t="shared" si="26"/>
        <v>80074.253514275057</v>
      </c>
      <c r="N42" s="12">
        <f t="shared" si="26"/>
        <v>85092.99069008285</v>
      </c>
      <c r="O42" s="12">
        <f t="shared" ref="O42:P42" si="27">SUM(O39:O41)</f>
        <v>70241.757845017812</v>
      </c>
      <c r="P42" s="12">
        <f t="shared" si="27"/>
        <v>70924.936682263113</v>
      </c>
    </row>
    <row r="44" spans="1:16" x14ac:dyDescent="0.2">
      <c r="A44" s="24" t="s">
        <v>98</v>
      </c>
    </row>
    <row r="45" spans="1:16" x14ac:dyDescent="0.2">
      <c r="A45" s="18" t="s">
        <v>26</v>
      </c>
      <c r="B45" s="2">
        <v>56115</v>
      </c>
      <c r="C45" s="2">
        <v>56897</v>
      </c>
      <c r="D45" s="2">
        <v>57518.879999999997</v>
      </c>
      <c r="E45" s="2">
        <v>57518.879999999997</v>
      </c>
      <c r="F45" s="2">
        <v>64737.547500000001</v>
      </c>
      <c r="G45" s="2">
        <v>68249.759999999995</v>
      </c>
      <c r="H45" s="2">
        <v>72361.032918750003</v>
      </c>
      <c r="I45" s="2">
        <v>69243.839999999997</v>
      </c>
      <c r="J45" s="2">
        <v>69817.919999999998</v>
      </c>
      <c r="K45" s="2">
        <v>70512</v>
      </c>
      <c r="L45" s="2">
        <f>+K45*1.02</f>
        <v>71922.240000000005</v>
      </c>
      <c r="M45" s="2">
        <f t="shared" ref="M45:N45" si="28">+L45*1.02</f>
        <v>73360.684800000003</v>
      </c>
      <c r="N45" s="2">
        <f t="shared" si="28"/>
        <v>74827.898496000009</v>
      </c>
      <c r="O45" s="2">
        <v>69817.919999999998</v>
      </c>
      <c r="P45" s="2">
        <v>70512</v>
      </c>
    </row>
    <row r="46" spans="1:16" x14ac:dyDescent="0.2">
      <c r="A46" s="18" t="s">
        <v>27</v>
      </c>
      <c r="B46" s="2">
        <v>15901</v>
      </c>
      <c r="C46" s="2">
        <v>16807</v>
      </c>
      <c r="D46" s="2">
        <v>17974.649999999998</v>
      </c>
      <c r="E46" s="2">
        <v>17974.649999999998</v>
      </c>
      <c r="F46" s="2">
        <v>20230.483593749999</v>
      </c>
      <c r="G46" s="2">
        <v>21328.05</v>
      </c>
      <c r="H46" s="2">
        <v>22612.822787109373</v>
      </c>
      <c r="I46" s="2">
        <v>21638.7</v>
      </c>
      <c r="J46" s="2">
        <v>21818.1</v>
      </c>
      <c r="K46" s="2">
        <v>22035</v>
      </c>
      <c r="L46" s="2">
        <f>+K46*0.99</f>
        <v>21814.65</v>
      </c>
      <c r="M46" s="2">
        <f t="shared" ref="M46:N46" si="29">+L46*0.99</f>
        <v>21596.503500000003</v>
      </c>
      <c r="N46" s="2">
        <f t="shared" si="29"/>
        <v>21380.538465000001</v>
      </c>
      <c r="O46" s="2">
        <v>21818.1</v>
      </c>
      <c r="P46" s="2">
        <v>22035</v>
      </c>
    </row>
    <row r="47" spans="1:16" x14ac:dyDescent="0.2">
      <c r="A47" s="8" t="s">
        <v>28</v>
      </c>
      <c r="B47" s="12">
        <f t="shared" ref="B47" si="30">SUM(B45:B46)</f>
        <v>72016</v>
      </c>
      <c r="C47" s="12">
        <f t="shared" ref="C47:N47" si="31">SUM(C45:C46)</f>
        <v>73704</v>
      </c>
      <c r="D47" s="12">
        <f t="shared" si="31"/>
        <v>75493.53</v>
      </c>
      <c r="E47" s="12">
        <f t="shared" si="31"/>
        <v>75493.53</v>
      </c>
      <c r="F47" s="12">
        <f t="shared" si="31"/>
        <v>84968.031093750003</v>
      </c>
      <c r="G47" s="12">
        <f t="shared" si="31"/>
        <v>89577.81</v>
      </c>
      <c r="H47" s="12">
        <f t="shared" si="31"/>
        <v>94973.855705859372</v>
      </c>
      <c r="I47" s="12">
        <f t="shared" si="31"/>
        <v>90882.54</v>
      </c>
      <c r="J47" s="12">
        <f t="shared" si="31"/>
        <v>91636.01999999999</v>
      </c>
      <c r="K47" s="12">
        <f t="shared" si="31"/>
        <v>92547</v>
      </c>
      <c r="L47" s="12">
        <f t="shared" si="31"/>
        <v>93736.890000000014</v>
      </c>
      <c r="M47" s="12">
        <f t="shared" si="31"/>
        <v>94957.188300000009</v>
      </c>
      <c r="N47" s="12">
        <f t="shared" si="31"/>
        <v>96208.436961000014</v>
      </c>
      <c r="O47" s="12">
        <f t="shared" ref="O47:P47" si="32">SUM(O45:O46)</f>
        <v>91636.01999999999</v>
      </c>
      <c r="P47" s="12">
        <f t="shared" si="32"/>
        <v>92547</v>
      </c>
    </row>
    <row r="48" spans="1:16" x14ac:dyDescent="0.2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x14ac:dyDescent="0.2">
      <c r="A49" s="7" t="s">
        <v>29</v>
      </c>
    </row>
    <row r="50" spans="1:16" x14ac:dyDescent="0.2">
      <c r="A50" s="18" t="s">
        <v>88</v>
      </c>
      <c r="B50" s="2">
        <v>11000</v>
      </c>
      <c r="C50" s="2">
        <v>11000</v>
      </c>
      <c r="D50" s="2">
        <v>11000</v>
      </c>
      <c r="E50" s="2">
        <v>11000</v>
      </c>
      <c r="F50" s="2">
        <v>11000</v>
      </c>
      <c r="G50" s="2">
        <v>11000</v>
      </c>
      <c r="H50" s="2">
        <v>11000</v>
      </c>
      <c r="I50" s="2">
        <v>11000</v>
      </c>
      <c r="J50" s="2">
        <v>11000</v>
      </c>
      <c r="K50" s="2">
        <v>11000</v>
      </c>
      <c r="L50" s="2">
        <v>11000</v>
      </c>
      <c r="M50" s="2">
        <v>11000</v>
      </c>
      <c r="N50" s="2">
        <v>11000</v>
      </c>
      <c r="O50" s="2">
        <v>11000</v>
      </c>
      <c r="P50" s="2">
        <v>11000</v>
      </c>
    </row>
    <row r="51" spans="1:16" ht="16" x14ac:dyDescent="0.2">
      <c r="A51" s="23" t="s">
        <v>89</v>
      </c>
      <c r="B51" s="6">
        <v>1200</v>
      </c>
      <c r="C51" s="2">
        <v>1200</v>
      </c>
      <c r="D51" s="2">
        <v>1200</v>
      </c>
      <c r="E51" s="2">
        <v>1200</v>
      </c>
      <c r="F51" s="2">
        <v>1200</v>
      </c>
      <c r="G51" s="2">
        <v>1200</v>
      </c>
      <c r="H51" s="2">
        <v>1200</v>
      </c>
      <c r="I51" s="2">
        <v>1200</v>
      </c>
      <c r="J51" s="2">
        <v>1200</v>
      </c>
      <c r="K51" s="2">
        <v>1200</v>
      </c>
      <c r="L51" s="2">
        <v>1200</v>
      </c>
      <c r="M51" s="2">
        <v>1200</v>
      </c>
      <c r="N51" s="2">
        <v>1200</v>
      </c>
      <c r="O51" s="2">
        <v>1200</v>
      </c>
      <c r="P51" s="2">
        <v>1200</v>
      </c>
    </row>
    <row r="52" spans="1:16" x14ac:dyDescent="0.2">
      <c r="A52" s="8" t="s">
        <v>30</v>
      </c>
      <c r="B52" s="12">
        <f>SUM(B50:B51)</f>
        <v>12200</v>
      </c>
      <c r="C52" s="12">
        <f>SUM(C50:C51)</f>
        <v>12200</v>
      </c>
      <c r="D52" s="12">
        <f t="shared" ref="D52:N52" si="33">SUM(D50:D51)</f>
        <v>12200</v>
      </c>
      <c r="E52" s="12">
        <f t="shared" si="33"/>
        <v>12200</v>
      </c>
      <c r="F52" s="12">
        <f t="shared" si="33"/>
        <v>12200</v>
      </c>
      <c r="G52" s="12">
        <f t="shared" si="33"/>
        <v>12200</v>
      </c>
      <c r="H52" s="12">
        <f t="shared" si="33"/>
        <v>12200</v>
      </c>
      <c r="I52" s="12">
        <f t="shared" si="33"/>
        <v>12200</v>
      </c>
      <c r="J52" s="12">
        <f t="shared" si="33"/>
        <v>12200</v>
      </c>
      <c r="K52" s="12">
        <f t="shared" si="33"/>
        <v>12200</v>
      </c>
      <c r="L52" s="12">
        <f t="shared" si="33"/>
        <v>12200</v>
      </c>
      <c r="M52" s="12">
        <f t="shared" si="33"/>
        <v>12200</v>
      </c>
      <c r="N52" s="12">
        <f t="shared" si="33"/>
        <v>12200</v>
      </c>
      <c r="O52" s="12">
        <f t="shared" ref="O52:P52" si="34">SUM(O50:O51)</f>
        <v>12200</v>
      </c>
      <c r="P52" s="12">
        <f t="shared" si="34"/>
        <v>12200</v>
      </c>
    </row>
    <row r="54" spans="1:16" x14ac:dyDescent="0.2">
      <c r="A54" s="7" t="s">
        <v>31</v>
      </c>
    </row>
    <row r="55" spans="1:16" x14ac:dyDescent="0.2">
      <c r="A55" s="18" t="s">
        <v>90</v>
      </c>
      <c r="B55" s="3">
        <v>600</v>
      </c>
      <c r="C55" s="2">
        <v>600</v>
      </c>
      <c r="D55" s="2">
        <v>600</v>
      </c>
      <c r="E55" s="2">
        <v>600</v>
      </c>
      <c r="F55" s="2">
        <v>600</v>
      </c>
      <c r="G55" s="2">
        <v>600</v>
      </c>
      <c r="H55" s="2">
        <v>600</v>
      </c>
      <c r="I55" s="2">
        <v>600</v>
      </c>
      <c r="J55" s="2">
        <v>600</v>
      </c>
      <c r="K55" s="2">
        <v>600</v>
      </c>
      <c r="L55" s="2">
        <v>600</v>
      </c>
      <c r="M55" s="2">
        <v>600</v>
      </c>
      <c r="N55" s="2">
        <v>600</v>
      </c>
      <c r="O55" s="2">
        <v>600</v>
      </c>
      <c r="P55" s="2">
        <v>600</v>
      </c>
    </row>
    <row r="56" spans="1:16" x14ac:dyDescent="0.2">
      <c r="A56" s="18" t="s">
        <v>91</v>
      </c>
      <c r="B56" s="3">
        <v>5000</v>
      </c>
      <c r="C56" s="2">
        <v>5000</v>
      </c>
      <c r="D56" s="2">
        <v>5000</v>
      </c>
      <c r="E56" s="2">
        <v>5000</v>
      </c>
      <c r="F56" s="2">
        <v>5000</v>
      </c>
      <c r="G56" s="2">
        <v>5000</v>
      </c>
      <c r="H56" s="2">
        <v>5000</v>
      </c>
      <c r="I56" s="2">
        <v>5000</v>
      </c>
      <c r="J56" s="2">
        <v>5000</v>
      </c>
      <c r="K56" s="2">
        <v>5000</v>
      </c>
      <c r="L56" s="2">
        <v>5000</v>
      </c>
      <c r="M56" s="2">
        <v>5000</v>
      </c>
      <c r="N56" s="2">
        <v>5000</v>
      </c>
      <c r="O56" s="2">
        <v>5000</v>
      </c>
      <c r="P56" s="2">
        <v>5000</v>
      </c>
    </row>
    <row r="57" spans="1:16" x14ac:dyDescent="0.2">
      <c r="A57" s="18" t="s">
        <v>92</v>
      </c>
      <c r="B57" s="3">
        <v>5000</v>
      </c>
      <c r="C57" s="2">
        <v>5000</v>
      </c>
      <c r="D57" s="2">
        <v>5000</v>
      </c>
      <c r="E57" s="2">
        <v>5000</v>
      </c>
      <c r="F57" s="2">
        <v>5000</v>
      </c>
      <c r="G57" s="2">
        <v>5000</v>
      </c>
      <c r="H57" s="2">
        <v>5000</v>
      </c>
      <c r="I57" s="2">
        <v>5000</v>
      </c>
      <c r="J57" s="2">
        <v>5000</v>
      </c>
      <c r="K57" s="2">
        <v>5000</v>
      </c>
      <c r="L57" s="2">
        <v>5000</v>
      </c>
      <c r="M57" s="2">
        <v>5000</v>
      </c>
      <c r="N57" s="2">
        <v>5000</v>
      </c>
      <c r="O57" s="2">
        <v>5000</v>
      </c>
      <c r="P57" s="2">
        <v>5000</v>
      </c>
    </row>
    <row r="58" spans="1:16" x14ac:dyDescent="0.2">
      <c r="A58" s="8" t="s">
        <v>32</v>
      </c>
      <c r="B58" s="12">
        <f>SUM(B55:B57)</f>
        <v>10600</v>
      </c>
      <c r="C58" s="12">
        <f>SUM(C55:C57)</f>
        <v>10600</v>
      </c>
      <c r="D58" s="12">
        <f t="shared" ref="D58:N58" si="35">SUM(D55:D57)</f>
        <v>10600</v>
      </c>
      <c r="E58" s="12">
        <f t="shared" si="35"/>
        <v>10600</v>
      </c>
      <c r="F58" s="12">
        <f t="shared" si="35"/>
        <v>10600</v>
      </c>
      <c r="G58" s="12">
        <f t="shared" si="35"/>
        <v>10600</v>
      </c>
      <c r="H58" s="12">
        <f t="shared" si="35"/>
        <v>10600</v>
      </c>
      <c r="I58" s="12">
        <f t="shared" si="35"/>
        <v>10600</v>
      </c>
      <c r="J58" s="12">
        <f t="shared" si="35"/>
        <v>10600</v>
      </c>
      <c r="K58" s="12">
        <f t="shared" si="35"/>
        <v>10600</v>
      </c>
      <c r="L58" s="12">
        <f t="shared" si="35"/>
        <v>10600</v>
      </c>
      <c r="M58" s="12">
        <f t="shared" si="35"/>
        <v>10600</v>
      </c>
      <c r="N58" s="12">
        <f t="shared" si="35"/>
        <v>10600</v>
      </c>
      <c r="O58" s="12">
        <f t="shared" ref="O58:P58" si="36">SUM(O55:O57)</f>
        <v>10600</v>
      </c>
      <c r="P58" s="12">
        <f t="shared" si="36"/>
        <v>10600</v>
      </c>
    </row>
    <row r="60" spans="1:16" x14ac:dyDescent="0.2">
      <c r="A60" s="7" t="s">
        <v>93</v>
      </c>
    </row>
    <row r="61" spans="1:16" x14ac:dyDescent="0.2">
      <c r="A61" s="18" t="s">
        <v>33</v>
      </c>
      <c r="B61" s="2">
        <v>4500</v>
      </c>
      <c r="C61" s="2">
        <v>2726.85</v>
      </c>
      <c r="D61" s="2">
        <v>2863.1925000000001</v>
      </c>
      <c r="E61" s="2">
        <v>3006.3521250000003</v>
      </c>
      <c r="F61" s="2">
        <v>3156.66973125</v>
      </c>
      <c r="G61" s="2">
        <v>3314.5032178125007</v>
      </c>
      <c r="H61" s="2">
        <v>3480.2283787031256</v>
      </c>
      <c r="I61" s="2">
        <v>3654.2397976382822</v>
      </c>
      <c r="J61" s="2">
        <v>3836.9517875201964</v>
      </c>
      <c r="K61" s="2">
        <v>4028.7993768962056</v>
      </c>
      <c r="L61" s="2">
        <f>+K61*1.01</f>
        <v>4069.0873706651678</v>
      </c>
      <c r="M61" s="2">
        <f t="shared" ref="M61:N61" si="37">+L61*1.01</f>
        <v>4109.7782443718197</v>
      </c>
      <c r="N61" s="2">
        <f t="shared" si="37"/>
        <v>4150.8760268155384</v>
      </c>
      <c r="O61" s="2">
        <v>3836.9517875201964</v>
      </c>
      <c r="P61" s="2">
        <v>4028.7993768962056</v>
      </c>
    </row>
    <row r="62" spans="1:16" x14ac:dyDescent="0.2">
      <c r="A62" s="18" t="s">
        <v>94</v>
      </c>
      <c r="B62" s="2">
        <v>1500</v>
      </c>
      <c r="C62" s="2">
        <v>3500</v>
      </c>
      <c r="D62" s="2">
        <v>3500</v>
      </c>
      <c r="E62" s="2">
        <v>3500</v>
      </c>
      <c r="F62" s="2">
        <v>3500</v>
      </c>
      <c r="G62" s="2">
        <v>3500</v>
      </c>
      <c r="H62" s="2">
        <v>3500</v>
      </c>
      <c r="I62" s="2">
        <v>3500</v>
      </c>
      <c r="J62" s="2">
        <v>3500</v>
      </c>
      <c r="K62" s="2">
        <v>3500</v>
      </c>
      <c r="L62" s="2">
        <v>3500</v>
      </c>
      <c r="M62" s="2">
        <v>3500</v>
      </c>
      <c r="N62" s="2">
        <v>3500</v>
      </c>
      <c r="O62" s="2">
        <v>3500</v>
      </c>
      <c r="P62" s="2">
        <v>3500</v>
      </c>
    </row>
    <row r="63" spans="1:16" x14ac:dyDescent="0.2">
      <c r="A63" s="8" t="s">
        <v>95</v>
      </c>
      <c r="B63" s="12">
        <f>SUM(B61:B62)</f>
        <v>6000</v>
      </c>
      <c r="C63" s="12">
        <f t="shared" ref="C63:N63" si="38">SUM(C61:C62)</f>
        <v>6226.85</v>
      </c>
      <c r="D63" s="12">
        <f t="shared" si="38"/>
        <v>6363.1925000000001</v>
      </c>
      <c r="E63" s="12">
        <f t="shared" si="38"/>
        <v>6506.3521250000003</v>
      </c>
      <c r="F63" s="12">
        <f t="shared" si="38"/>
        <v>6656.66973125</v>
      </c>
      <c r="G63" s="12">
        <f t="shared" si="38"/>
        <v>6814.5032178125002</v>
      </c>
      <c r="H63" s="12">
        <f t="shared" si="38"/>
        <v>6980.2283787031256</v>
      </c>
      <c r="I63" s="12">
        <f t="shared" si="38"/>
        <v>7154.2397976382817</v>
      </c>
      <c r="J63" s="12">
        <f t="shared" si="38"/>
        <v>7336.9517875201964</v>
      </c>
      <c r="K63" s="12">
        <f t="shared" si="38"/>
        <v>7528.799376896206</v>
      </c>
      <c r="L63" s="12">
        <f t="shared" si="38"/>
        <v>7569.0873706651673</v>
      </c>
      <c r="M63" s="12">
        <f t="shared" si="38"/>
        <v>7609.7782443718197</v>
      </c>
      <c r="N63" s="12">
        <f t="shared" si="38"/>
        <v>7650.8760268155384</v>
      </c>
      <c r="O63" s="12">
        <f t="shared" ref="O63:P63" si="39">SUM(O61:O62)</f>
        <v>7336.9517875201964</v>
      </c>
      <c r="P63" s="12">
        <f t="shared" si="39"/>
        <v>7528.799376896206</v>
      </c>
    </row>
    <row r="64" spans="1:16" x14ac:dyDescent="0.2">
      <c r="A64" s="13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</row>
    <row r="65" spans="1:16" x14ac:dyDescent="0.2">
      <c r="A65" s="7" t="s">
        <v>34</v>
      </c>
    </row>
    <row r="66" spans="1:16" x14ac:dyDescent="0.2">
      <c r="A66" s="18" t="s">
        <v>35</v>
      </c>
      <c r="B66">
        <v>560</v>
      </c>
      <c r="C66">
        <v>560</v>
      </c>
      <c r="D66">
        <v>560</v>
      </c>
      <c r="E66">
        <v>560</v>
      </c>
      <c r="F66">
        <v>560</v>
      </c>
      <c r="G66">
        <v>560</v>
      </c>
      <c r="H66">
        <v>560</v>
      </c>
      <c r="I66">
        <v>560</v>
      </c>
      <c r="J66">
        <v>560</v>
      </c>
      <c r="K66">
        <v>560</v>
      </c>
      <c r="L66">
        <v>560</v>
      </c>
      <c r="M66">
        <v>560</v>
      </c>
      <c r="N66">
        <v>560</v>
      </c>
      <c r="O66">
        <v>560</v>
      </c>
      <c r="P66">
        <v>560</v>
      </c>
    </row>
    <row r="67" spans="1:16" x14ac:dyDescent="0.2">
      <c r="A67" s="8" t="s">
        <v>36</v>
      </c>
      <c r="B67" s="14">
        <f t="shared" ref="B67:K67" si="40">SUM(B66)</f>
        <v>560</v>
      </c>
      <c r="C67" s="14">
        <f t="shared" si="40"/>
        <v>560</v>
      </c>
      <c r="D67" s="14">
        <f t="shared" si="40"/>
        <v>560</v>
      </c>
      <c r="E67" s="14">
        <f t="shared" si="40"/>
        <v>560</v>
      </c>
      <c r="F67" s="14">
        <f t="shared" si="40"/>
        <v>560</v>
      </c>
      <c r="G67" s="14">
        <f t="shared" si="40"/>
        <v>560</v>
      </c>
      <c r="H67" s="14">
        <f t="shared" si="40"/>
        <v>560</v>
      </c>
      <c r="I67" s="14">
        <f t="shared" si="40"/>
        <v>560</v>
      </c>
      <c r="J67" s="14">
        <f t="shared" si="40"/>
        <v>560</v>
      </c>
      <c r="K67" s="14">
        <f t="shared" si="40"/>
        <v>560</v>
      </c>
      <c r="L67" s="14">
        <f t="shared" ref="L67" si="41">SUM(L66)</f>
        <v>560</v>
      </c>
      <c r="M67" s="14">
        <f t="shared" ref="M67" si="42">SUM(M66)</f>
        <v>560</v>
      </c>
      <c r="N67" s="14">
        <f t="shared" ref="N67" si="43">SUM(N66)</f>
        <v>560</v>
      </c>
      <c r="O67" s="14">
        <f t="shared" ref="O67:P67" si="44">SUM(O66)</f>
        <v>560</v>
      </c>
      <c r="P67" s="14">
        <f t="shared" si="44"/>
        <v>560</v>
      </c>
    </row>
    <row r="69" spans="1:16" s="7" customFormat="1" x14ac:dyDescent="0.2">
      <c r="A69" s="38" t="s">
        <v>107</v>
      </c>
      <c r="B69" s="37">
        <f>+SUM(B63,B58,B52,B47,B42,B36,B67)</f>
        <v>146876</v>
      </c>
      <c r="C69" s="37">
        <f>+SUM(C63,C58,C52,C47,C42,C36,C67)</f>
        <v>146918.85</v>
      </c>
      <c r="D69" s="37">
        <f t="shared" ref="D69:K69" si="45">+SUM(D63,D58,D52,D47,D42,D36,D67)</f>
        <v>151708.30750000002</v>
      </c>
      <c r="E69" s="37">
        <f t="shared" si="45"/>
        <v>159511.56307500001</v>
      </c>
      <c r="F69" s="37">
        <f t="shared" si="45"/>
        <v>178631.84869150002</v>
      </c>
      <c r="G69" s="37">
        <f t="shared" si="45"/>
        <v>180358.47800569251</v>
      </c>
      <c r="H69" s="37">
        <f t="shared" si="45"/>
        <v>196415.34102741836</v>
      </c>
      <c r="I69" s="37">
        <f t="shared" si="45"/>
        <v>215004.6068420253</v>
      </c>
      <c r="J69" s="37">
        <f t="shared" si="45"/>
        <v>212389.79651432211</v>
      </c>
      <c r="K69" s="37">
        <f t="shared" si="45"/>
        <v>216538.97430966457</v>
      </c>
      <c r="L69" s="37">
        <f t="shared" ref="L69:P69" si="46">+SUM(L63,L58,L52,L47,L42,L36,L67)</f>
        <v>222179.72259556974</v>
      </c>
      <c r="M69" s="37">
        <f t="shared" si="46"/>
        <v>227252.22005864687</v>
      </c>
      <c r="N69" s="37">
        <f t="shared" si="46"/>
        <v>234056.30367789842</v>
      </c>
      <c r="O69" s="37">
        <f t="shared" si="46"/>
        <v>212389.79651432211</v>
      </c>
      <c r="P69" s="37">
        <f t="shared" si="46"/>
        <v>216538.97430966457</v>
      </c>
    </row>
    <row r="71" spans="1:16" s="7" customFormat="1" x14ac:dyDescent="0.2">
      <c r="A71" s="16" t="s">
        <v>46</v>
      </c>
      <c r="B71" s="37">
        <f t="shared" ref="B71:K71" si="47">+B28-B69</f>
        <v>29564.796536796493</v>
      </c>
      <c r="C71" s="37">
        <f t="shared" si="47"/>
        <v>41470.055627705558</v>
      </c>
      <c r="D71" s="37">
        <f t="shared" si="47"/>
        <v>41683.234772727272</v>
      </c>
      <c r="E71" s="37">
        <f t="shared" si="47"/>
        <v>53150.286420454504</v>
      </c>
      <c r="F71" s="37">
        <f t="shared" si="47"/>
        <v>50525.266614659049</v>
      </c>
      <c r="G71" s="37">
        <f t="shared" si="47"/>
        <v>58101.402291926119</v>
      </c>
      <c r="H71" s="37">
        <f t="shared" si="47"/>
        <v>53935.236910046282</v>
      </c>
      <c r="I71" s="37">
        <f t="shared" si="47"/>
        <v>78698.449955415796</v>
      </c>
      <c r="J71" s="37">
        <f t="shared" si="47"/>
        <v>83092.780177377455</v>
      </c>
      <c r="K71" s="37">
        <f t="shared" si="47"/>
        <v>99604.544402624131</v>
      </c>
      <c r="L71" s="37">
        <f t="shared" ref="L71:P71" si="48">+L28-L69</f>
        <v>69604.676879624312</v>
      </c>
      <c r="M71" s="37">
        <f t="shared" si="48"/>
        <v>52713.246085018618</v>
      </c>
      <c r="N71" s="37">
        <f t="shared" si="48"/>
        <v>29875.356322101608</v>
      </c>
      <c r="O71" s="37">
        <f t="shared" si="48"/>
        <v>83092.780177377455</v>
      </c>
      <c r="P71" s="37">
        <f t="shared" si="48"/>
        <v>99604.544402624131</v>
      </c>
    </row>
    <row r="73" spans="1:16" x14ac:dyDescent="0.2">
      <c r="A73" s="7" t="s">
        <v>37</v>
      </c>
    </row>
    <row r="74" spans="1:16" x14ac:dyDescent="0.2">
      <c r="A74" s="18" t="s">
        <v>38</v>
      </c>
      <c r="B74" s="2">
        <v>14900</v>
      </c>
      <c r="C74" s="2">
        <v>14998</v>
      </c>
      <c r="D74" s="2">
        <f>-(+'balance sheet'!C8-'balance sheet'!B8)</f>
        <v>15630</v>
      </c>
      <c r="E74" s="2">
        <f>-(+'balance sheet'!D8-'balance sheet'!C8)</f>
        <v>15661.5</v>
      </c>
      <c r="F74" s="2">
        <f>-(+'balance sheet'!E8-'balance sheet'!D8)</f>
        <v>15000</v>
      </c>
      <c r="G74" s="2">
        <f>-(+'balance sheet'!F8-'balance sheet'!E8)</f>
        <v>15000</v>
      </c>
      <c r="H74" s="2">
        <f>-(+'balance sheet'!G8-'balance sheet'!F8)</f>
        <v>15000</v>
      </c>
      <c r="I74" s="2">
        <f>-(+'balance sheet'!H8-'balance sheet'!G8)</f>
        <v>15694.575000000012</v>
      </c>
      <c r="J74" s="2">
        <f>-(+'balance sheet'!I8-'balance sheet'!H8)</f>
        <v>16005</v>
      </c>
      <c r="K74" s="2">
        <f>-(+'balance sheet'!J8-'balance sheet'!I8)</f>
        <v>16054.375</v>
      </c>
      <c r="L74" s="2">
        <f>-(+'balance sheet'!K8-'balance sheet'!J8)</f>
        <v>16139</v>
      </c>
      <c r="M74" s="2">
        <f>-(+'balance sheet'!L8-'balance sheet'!K8)</f>
        <v>20849</v>
      </c>
      <c r="N74" s="2">
        <f>-(+'balance sheet'!M8-'balance sheet'!L8)</f>
        <v>20849</v>
      </c>
      <c r="O74" s="2">
        <f>-(+'balance sheet'!N8-'balance sheet'!M8)</f>
        <v>20849</v>
      </c>
      <c r="P74" s="2">
        <f>-(+'balance sheet'!O8-'balance sheet'!N8)</f>
        <v>20849</v>
      </c>
    </row>
    <row r="75" spans="1:16" x14ac:dyDescent="0.2">
      <c r="A75" s="8" t="s">
        <v>39</v>
      </c>
      <c r="B75" s="12">
        <f t="shared" ref="B75:K75" si="49">SUM(B74:B74)</f>
        <v>14900</v>
      </c>
      <c r="C75" s="12">
        <f t="shared" si="49"/>
        <v>14998</v>
      </c>
      <c r="D75" s="12">
        <f t="shared" si="49"/>
        <v>15630</v>
      </c>
      <c r="E75" s="12">
        <f t="shared" si="49"/>
        <v>15661.5</v>
      </c>
      <c r="F75" s="12">
        <f t="shared" si="49"/>
        <v>15000</v>
      </c>
      <c r="G75" s="12">
        <f t="shared" si="49"/>
        <v>15000</v>
      </c>
      <c r="H75" s="12">
        <f t="shared" si="49"/>
        <v>15000</v>
      </c>
      <c r="I75" s="12">
        <f t="shared" si="49"/>
        <v>15694.575000000012</v>
      </c>
      <c r="J75" s="12">
        <f t="shared" si="49"/>
        <v>16005</v>
      </c>
      <c r="K75" s="12">
        <f t="shared" si="49"/>
        <v>16054.375</v>
      </c>
      <c r="L75" s="12">
        <f t="shared" ref="L75" si="50">SUM(L74:L74)</f>
        <v>16139</v>
      </c>
      <c r="M75" s="12">
        <f t="shared" ref="M75" si="51">SUM(M74:M74)</f>
        <v>20849</v>
      </c>
      <c r="N75" s="12">
        <f t="shared" ref="N75" si="52">SUM(N74:N74)</f>
        <v>20849</v>
      </c>
      <c r="O75" s="12">
        <f t="shared" ref="O75:P75" si="53">SUM(O74:O74)</f>
        <v>20849</v>
      </c>
      <c r="P75" s="12">
        <f t="shared" si="53"/>
        <v>20849</v>
      </c>
    </row>
    <row r="77" spans="1:16" x14ac:dyDescent="0.2">
      <c r="A77" s="18" t="s">
        <v>42</v>
      </c>
      <c r="B77" s="2">
        <v>2100</v>
      </c>
      <c r="C77" s="21">
        <v>2100</v>
      </c>
      <c r="D77" s="21">
        <v>2100</v>
      </c>
      <c r="E77" s="21">
        <v>2100</v>
      </c>
      <c r="F77" s="21">
        <v>2100</v>
      </c>
      <c r="G77" s="21">
        <v>2100</v>
      </c>
      <c r="H77" s="21">
        <v>2100</v>
      </c>
      <c r="I77" s="21">
        <v>2100</v>
      </c>
      <c r="J77" s="21">
        <v>2100</v>
      </c>
      <c r="K77" s="21">
        <f>2100*4/5</f>
        <v>1680</v>
      </c>
      <c r="L77" s="21">
        <f t="shared" ref="L77:N77" si="54">2100*4/5</f>
        <v>1680</v>
      </c>
      <c r="M77" s="21">
        <f t="shared" si="54"/>
        <v>1680</v>
      </c>
      <c r="N77" s="21">
        <f t="shared" si="54"/>
        <v>1680</v>
      </c>
      <c r="O77" s="21">
        <v>2100</v>
      </c>
      <c r="P77" s="21">
        <f>2100*4/5</f>
        <v>1680</v>
      </c>
    </row>
    <row r="78" spans="1:16" x14ac:dyDescent="0.2"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1:16" x14ac:dyDescent="0.2">
      <c r="A79" s="16" t="s">
        <v>43</v>
      </c>
      <c r="B79" s="22">
        <f>+B71-B75-B77</f>
        <v>12564.796536796493</v>
      </c>
      <c r="C79" s="22">
        <f>+C71-C75-C77</f>
        <v>24372.055627705558</v>
      </c>
      <c r="D79" s="22">
        <f t="shared" ref="D79:K79" si="55">+D71-D75-D77</f>
        <v>23953.234772727272</v>
      </c>
      <c r="E79" s="22">
        <f t="shared" si="55"/>
        <v>35388.786420454504</v>
      </c>
      <c r="F79" s="22">
        <f t="shared" si="55"/>
        <v>33425.266614659049</v>
      </c>
      <c r="G79" s="22">
        <f t="shared" si="55"/>
        <v>41001.402291926119</v>
      </c>
      <c r="H79" s="22">
        <f t="shared" si="55"/>
        <v>36835.236910046282</v>
      </c>
      <c r="I79" s="22">
        <f t="shared" si="55"/>
        <v>60903.874955415784</v>
      </c>
      <c r="J79" s="22">
        <f t="shared" si="55"/>
        <v>64987.780177377455</v>
      </c>
      <c r="K79" s="22">
        <f t="shared" si="55"/>
        <v>81870.169402624131</v>
      </c>
      <c r="L79" s="22">
        <f t="shared" ref="L79:P79" si="56">+L71-L75-L77</f>
        <v>51785.676879624312</v>
      </c>
      <c r="M79" s="22">
        <f t="shared" si="56"/>
        <v>30184.246085018618</v>
      </c>
      <c r="N79" s="22">
        <f t="shared" si="56"/>
        <v>7346.3563221016084</v>
      </c>
      <c r="O79" s="22">
        <f t="shared" si="56"/>
        <v>60143.780177377455</v>
      </c>
      <c r="P79" s="22">
        <f t="shared" si="56"/>
        <v>77075.544402624131</v>
      </c>
    </row>
    <row r="80" spans="1:16" x14ac:dyDescent="0.2"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</row>
    <row r="81" spans="1:16" x14ac:dyDescent="0.2">
      <c r="A81" s="18" t="s">
        <v>44</v>
      </c>
      <c r="B81" s="17">
        <f>-B79*25%</f>
        <v>-3141.1991341991234</v>
      </c>
      <c r="C81" s="17">
        <f>C79*25%</f>
        <v>6093.0139069263896</v>
      </c>
      <c r="D81" s="17">
        <f t="shared" ref="D81:P81" si="57">D79*25%</f>
        <v>5988.3086931818179</v>
      </c>
      <c r="E81" s="17">
        <f t="shared" si="57"/>
        <v>8847.196605113626</v>
      </c>
      <c r="F81" s="17">
        <f t="shared" si="57"/>
        <v>8356.3166536647623</v>
      </c>
      <c r="G81" s="17">
        <f t="shared" si="57"/>
        <v>10250.35057298153</v>
      </c>
      <c r="H81" s="17">
        <f t="shared" si="57"/>
        <v>9208.8092275115705</v>
      </c>
      <c r="I81" s="17">
        <f t="shared" si="57"/>
        <v>15225.968738853946</v>
      </c>
      <c r="J81" s="17">
        <f t="shared" si="57"/>
        <v>16246.945044344364</v>
      </c>
      <c r="K81" s="17">
        <f t="shared" si="57"/>
        <v>20467.542350656033</v>
      </c>
      <c r="L81" s="17">
        <f t="shared" si="57"/>
        <v>12946.419219906078</v>
      </c>
      <c r="M81" s="17">
        <f t="shared" si="57"/>
        <v>7546.0615212546545</v>
      </c>
      <c r="N81" s="17">
        <f t="shared" si="57"/>
        <v>1836.5890805254021</v>
      </c>
      <c r="O81" s="17">
        <f t="shared" si="57"/>
        <v>15035.945044344364</v>
      </c>
      <c r="P81" s="17">
        <f t="shared" si="57"/>
        <v>19268.886100656033</v>
      </c>
    </row>
    <row r="82" spans="1:16" x14ac:dyDescent="0.2"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</row>
    <row r="83" spans="1:16" x14ac:dyDescent="0.2">
      <c r="A83" s="16" t="s">
        <v>45</v>
      </c>
      <c r="B83" s="22">
        <f t="shared" ref="B83:K83" si="58">B79-B81</f>
        <v>15705.995670995617</v>
      </c>
      <c r="C83" s="22">
        <f t="shared" si="58"/>
        <v>18279.041720779169</v>
      </c>
      <c r="D83" s="22">
        <f t="shared" si="58"/>
        <v>17964.926079545454</v>
      </c>
      <c r="E83" s="22">
        <f t="shared" si="58"/>
        <v>26541.589815340878</v>
      </c>
      <c r="F83" s="22">
        <f t="shared" si="58"/>
        <v>25068.949960994287</v>
      </c>
      <c r="G83" s="22">
        <f t="shared" si="58"/>
        <v>30751.051718944589</v>
      </c>
      <c r="H83" s="22">
        <f t="shared" si="58"/>
        <v>27626.427682534711</v>
      </c>
      <c r="I83" s="22">
        <f t="shared" si="58"/>
        <v>45677.906216561838</v>
      </c>
      <c r="J83" s="22">
        <f t="shared" si="58"/>
        <v>48740.835133033092</v>
      </c>
      <c r="K83" s="22">
        <f t="shared" si="58"/>
        <v>61402.627051968098</v>
      </c>
      <c r="L83" s="22">
        <f t="shared" ref="L83:P83" si="59">L79-L81</f>
        <v>38839.257659718234</v>
      </c>
      <c r="M83" s="22">
        <f t="shared" si="59"/>
        <v>22638.184563763964</v>
      </c>
      <c r="N83" s="22">
        <f t="shared" si="59"/>
        <v>5509.7672415762063</v>
      </c>
      <c r="O83" s="22">
        <f t="shared" si="59"/>
        <v>45107.835133033092</v>
      </c>
      <c r="P83" s="22">
        <f t="shared" si="59"/>
        <v>57806.658301968098</v>
      </c>
    </row>
    <row r="84" spans="1:16" x14ac:dyDescent="0.2">
      <c r="C84" s="17"/>
      <c r="D84" s="17"/>
      <c r="E84" s="17"/>
      <c r="F84" s="17"/>
      <c r="G84" s="17"/>
      <c r="H84" s="17"/>
      <c r="I84" s="17"/>
      <c r="J84" s="17"/>
      <c r="K84" s="17"/>
    </row>
    <row r="85" spans="1:16" hidden="1" x14ac:dyDescent="0.2">
      <c r="A85" t="s">
        <v>11</v>
      </c>
      <c r="C85" s="4">
        <f t="shared" ref="C85:K85" si="60">+SUM(C63,C58,C52,C42,C26,-C21)</f>
        <v>339483.4681818182</v>
      </c>
      <c r="D85" s="4">
        <f t="shared" si="60"/>
        <v>358292.00522727275</v>
      </c>
      <c r="E85" s="4">
        <f t="shared" si="60"/>
        <v>384609.01037954551</v>
      </c>
      <c r="F85" s="4">
        <f t="shared" si="60"/>
        <v>414459.30233634089</v>
      </c>
      <c r="G85" s="4">
        <f t="shared" si="60"/>
        <v>432215.08205439389</v>
      </c>
      <c r="H85" s="4">
        <f t="shared" si="60"/>
        <v>465603.11125645356</v>
      </c>
      <c r="I85" s="4">
        <f t="shared" si="60"/>
        <v>515869.84687228588</v>
      </c>
      <c r="J85" s="4">
        <f t="shared" si="60"/>
        <v>538037.49214083853</v>
      </c>
      <c r="K85" s="4">
        <f t="shared" si="60"/>
        <v>564686.21734687057</v>
      </c>
    </row>
    <row r="88" spans="1:16" x14ac:dyDescent="0.2">
      <c r="D88" s="32"/>
    </row>
  </sheetData>
  <mergeCells count="1">
    <mergeCell ref="C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income statement</vt:lpstr>
      <vt:lpstr>balance sheet</vt:lpstr>
      <vt:lpstr>cashflow</vt:lpstr>
      <vt:lpstr>EBITDA statement</vt:lpstr>
      <vt:lpstr>'balance sheet'!MONTHS</vt:lpstr>
      <vt:lpstr>cashflow!MONTHS</vt:lpstr>
      <vt:lpstr>'EBITDA statement'!MONTHS</vt:lpstr>
      <vt:lpstr>'income statement'!MONTHS</vt:lpstr>
      <vt:lpstr>'balance sheet'!ROWS</vt:lpstr>
      <vt:lpstr>cashflow!ROWS</vt:lpstr>
      <vt:lpstr>'EBITDA statement'!ROWS</vt:lpstr>
      <vt:lpstr>'income statement'!ROWS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Byrne</dc:creator>
  <cp:keywords/>
  <dc:description/>
  <cp:lastModifiedBy>Jeff  Lucas</cp:lastModifiedBy>
  <cp:revision/>
  <dcterms:created xsi:type="dcterms:W3CDTF">2022-01-11T13:48:23Z</dcterms:created>
  <dcterms:modified xsi:type="dcterms:W3CDTF">2025-11-21T10:36:04Z</dcterms:modified>
  <cp:category/>
  <cp:contentStatus/>
</cp:coreProperties>
</file>